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7.xml" ContentType="application/vnd.openxmlformats-officedocument.drawing+xml"/>
  <Override PartName="/xl/tables/table15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8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omments2.xml" ContentType="application/vnd.openxmlformats-officedocument.spreadsheetml.comments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rawings/drawing9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omments3.xml" ContentType="application/vnd.openxmlformats-officedocument.spreadsheetml.comments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10.xml" ContentType="application/vnd.openxmlformats-officedocument.drawing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omments4.xml" ContentType="application/vnd.openxmlformats-officedocument.spreadsheetml.comments+xml"/>
  <Override PartName="/xl/diagrams/data9.xml" ContentType="application/vnd.openxmlformats-officedocument.drawingml.diagramData+xml"/>
  <Override PartName="/xl/diagrams/layout9.xml" ContentType="application/vnd.openxmlformats-officedocument.drawingml.diagramLayout+xml"/>
  <Override PartName="/xl/diagrams/quickStyle9.xml" ContentType="application/vnd.openxmlformats-officedocument.drawingml.diagramStyle+xml"/>
  <Override PartName="/xl/diagrams/colors9.xml" ContentType="application/vnd.openxmlformats-officedocument.drawingml.diagramColors+xml"/>
  <Override PartName="/xl/diagrams/drawing9.xml" ContentType="application/vnd.ms-office.drawingml.diagramDrawing+xml"/>
  <Override PartName="/xl/drawings/drawing11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omments5.xml" ContentType="application/vnd.openxmlformats-officedocument.spreadsheetml.comments+xml"/>
  <Override PartName="/xl/diagrams/data10.xml" ContentType="application/vnd.openxmlformats-officedocument.drawingml.diagramData+xml"/>
  <Override PartName="/xl/diagrams/layout10.xml" ContentType="application/vnd.openxmlformats-officedocument.drawingml.diagramLayout+xml"/>
  <Override PartName="/xl/diagrams/quickStyle10.xml" ContentType="application/vnd.openxmlformats-officedocument.drawingml.diagramStyle+xml"/>
  <Override PartName="/xl/diagrams/colors10.xml" ContentType="application/vnd.openxmlformats-officedocument.drawingml.diagramColors+xml"/>
  <Override PartName="/xl/diagrams/drawing10.xml" ContentType="application/vnd.ms-office.drawingml.diagramDrawing+xml"/>
  <Override PartName="/xl/drawings/drawing12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omments6.xml" ContentType="application/vnd.openxmlformats-officedocument.spreadsheetml.comments+xml"/>
  <Override PartName="/xl/diagrams/data11.xml" ContentType="application/vnd.openxmlformats-officedocument.drawingml.diagramData+xml"/>
  <Override PartName="/xl/diagrams/layout11.xml" ContentType="application/vnd.openxmlformats-officedocument.drawingml.diagramLayout+xml"/>
  <Override PartName="/xl/diagrams/quickStyle11.xml" ContentType="application/vnd.openxmlformats-officedocument.drawingml.diagramStyle+xml"/>
  <Override PartName="/xl/diagrams/colors11.xml" ContentType="application/vnd.openxmlformats-officedocument.drawingml.diagramColors+xml"/>
  <Override PartName="/xl/diagrams/drawing11.xml" ContentType="application/vnd.ms-office.drawingml.diagramDrawing+xml"/>
  <Override PartName="/xl/drawings/drawing13.xml" ContentType="application/vnd.openxmlformats-officedocument.drawing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omments7.xml" ContentType="application/vnd.openxmlformats-officedocument.spreadsheetml.comments+xml"/>
  <Override PartName="/xl/diagrams/data12.xml" ContentType="application/vnd.openxmlformats-officedocument.drawingml.diagramData+xml"/>
  <Override PartName="/xl/diagrams/layout12.xml" ContentType="application/vnd.openxmlformats-officedocument.drawingml.diagramLayout+xml"/>
  <Override PartName="/xl/diagrams/quickStyle12.xml" ContentType="application/vnd.openxmlformats-officedocument.drawingml.diagramStyle+xml"/>
  <Override PartName="/xl/diagrams/colors12.xml" ContentType="application/vnd.openxmlformats-officedocument.drawingml.diagramColors+xml"/>
  <Override PartName="/xl/diagrams/drawing12.xml" ContentType="application/vnd.ms-office.drawingml.diagramDrawing+xml"/>
  <Override PartName="/xl/drawings/drawing14.xml" ContentType="application/vnd.openxmlformats-officedocument.drawing+xml"/>
  <Override PartName="/xl/diagrams/data13.xml" ContentType="application/vnd.openxmlformats-officedocument.drawingml.diagramData+xml"/>
  <Override PartName="/xl/diagrams/layout13.xml" ContentType="application/vnd.openxmlformats-officedocument.drawingml.diagramLayout+xml"/>
  <Override PartName="/xl/diagrams/quickStyle13.xml" ContentType="application/vnd.openxmlformats-officedocument.drawingml.diagramStyle+xml"/>
  <Override PartName="/xl/diagrams/colors13.xml" ContentType="application/vnd.openxmlformats-officedocument.drawingml.diagramColors+xml"/>
  <Override PartName="/xl/diagrams/drawing13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Password="D4C8" lockStructure="1"/>
  <bookViews>
    <workbookView xWindow="2175" yWindow="-120" windowWidth="15480" windowHeight="7995" tabRatio="42"/>
  </bookViews>
  <sheets>
    <sheet name="Pressupostos do Trabalho" sheetId="8" r:id="rId1"/>
    <sheet name="Demonstração Resultados" sheetId="1" r:id="rId2"/>
    <sheet name="Balanço" sheetId="2" r:id="rId3"/>
    <sheet name="Modelo Património 2011" sheetId="11" r:id="rId4"/>
    <sheet name="Modelo Património 2010" sheetId="12" r:id="rId5"/>
    <sheet name="Variação Mod.Patrim.2011 e2010 " sheetId="6" r:id="rId6"/>
    <sheet name="Atualizaçao Cash flows" sheetId="21" r:id="rId7"/>
    <sheet name="Mod. Rendimento 2011 opt invest" sheetId="13" r:id="rId8"/>
    <sheet name="Mod.Rend.2011 Opt.Entid.Buil-UP" sheetId="14" r:id="rId9"/>
    <sheet name="Mod.Rend.2011 Optic.Enti. MCAPM" sheetId="15" r:id="rId10"/>
    <sheet name="Mod.Rendimento 2010 opt invest." sheetId="16" r:id="rId11"/>
    <sheet name="Mod.Rend.2010 Optic.Ent.Buil-UP" sheetId="17" r:id="rId12"/>
    <sheet name="Mod.Rend.2010. Optic.Ent.MCAPM" sheetId="18" r:id="rId13"/>
    <sheet name="Quadros Resumo 2011-2010" sheetId="20" r:id="rId14"/>
  </sheets>
  <definedNames>
    <definedName name="_xlnm.Print_Area" localSheetId="2">Balanço!$A$2:$E$59</definedName>
    <definedName name="_xlnm.Print_Area" localSheetId="1">'Demonstração Resultados'!$A$2:$D$31</definedName>
    <definedName name="_xlnm.Print_Area" localSheetId="7">'Mod. Rendimento 2011 opt invest'!$A$2:$E$32</definedName>
    <definedName name="_xlnm.Print_Area" localSheetId="11">'Mod.Rend.2010 Optic.Ent.Buil-UP'!$A$2:$E$38</definedName>
    <definedName name="_xlnm.Print_Area" localSheetId="8">'Mod.Rend.2011 Opt.Entid.Buil-UP'!$A$2:$E$39</definedName>
    <definedName name="_xlnm.Print_Area" localSheetId="9">'Mod.Rend.2011 Optic.Enti. MCAPM'!$A$2:$E$45</definedName>
    <definedName name="_xlnm.Print_Area" localSheetId="10">'Mod.Rendimento 2010 opt invest.'!$A$2:$E$32</definedName>
    <definedName name="_xlnm.Print_Area" localSheetId="5">'Variação Mod.Patrim.2011 e2010 '!$A$2:$D$28</definedName>
    <definedName name="Dedt_to_Equity_Ratio__Passivo_Cap.Próprio">'Atualizaçao Cash flows'!$B$18</definedName>
    <definedName name="Designação">#REF!</definedName>
    <definedName name="Variação">#REF!</definedName>
  </definedNames>
  <calcPr calcId="145621"/>
</workbook>
</file>

<file path=xl/calcChain.xml><?xml version="1.0" encoding="utf-8"?>
<calcChain xmlns="http://schemas.openxmlformats.org/spreadsheetml/2006/main">
  <c r="C67" i="21" l="1"/>
  <c r="C63" i="21"/>
  <c r="C64" i="21"/>
  <c r="C65" i="21"/>
  <c r="C66" i="21"/>
  <c r="C62" i="21"/>
  <c r="B41" i="21"/>
  <c r="B40" i="21"/>
  <c r="B39" i="21"/>
  <c r="B38" i="21"/>
  <c r="B37" i="21"/>
  <c r="B36" i="21"/>
  <c r="C60" i="21" s="1"/>
  <c r="C59" i="21" s="1"/>
  <c r="C58" i="21" s="1"/>
  <c r="C57" i="21" s="1"/>
  <c r="C56" i="21" s="1"/>
  <c r="C55" i="21" s="1"/>
  <c r="C68" i="21" l="1"/>
  <c r="C69" i="21" l="1"/>
  <c r="C70" i="21" l="1"/>
  <c r="C71" i="21" l="1"/>
  <c r="C72" i="21" l="1"/>
  <c r="C73" i="21" l="1"/>
  <c r="C74" i="21" l="1"/>
  <c r="C75" i="21" l="1"/>
  <c r="C76" i="21" l="1"/>
  <c r="C104" i="21" s="1"/>
  <c r="B35" i="17" l="1"/>
  <c r="B42" i="18" s="1"/>
  <c r="A8" i="15"/>
  <c r="A9" i="17" s="1"/>
  <c r="A9" i="18" s="1"/>
  <c r="C10" i="20" l="1"/>
  <c r="B10" i="20"/>
  <c r="D10" i="20" s="1"/>
  <c r="B85" i="12" l="1"/>
  <c r="B81" i="12"/>
  <c r="B75" i="12"/>
  <c r="B70" i="12"/>
  <c r="B71" i="12"/>
  <c r="A17" i="6"/>
  <c r="A20" i="6"/>
  <c r="B44" i="12"/>
  <c r="B45" i="12"/>
  <c r="B40" i="12"/>
  <c r="B41" i="12"/>
  <c r="B39" i="12"/>
  <c r="B35" i="12"/>
  <c r="B34" i="12"/>
  <c r="B24" i="12"/>
  <c r="B25" i="12"/>
  <c r="B26" i="12"/>
  <c r="B27" i="12"/>
  <c r="B28" i="12"/>
  <c r="B29" i="12"/>
  <c r="B30" i="12"/>
  <c r="B23" i="12"/>
  <c r="A45" i="12"/>
  <c r="A84" i="12" s="1"/>
  <c r="A44" i="12"/>
  <c r="A83" i="12" s="1"/>
  <c r="A41" i="12"/>
  <c r="A80" i="12" s="1"/>
  <c r="A40" i="12"/>
  <c r="A79" i="12" s="1"/>
  <c r="A39" i="12"/>
  <c r="A78" i="12" s="1"/>
  <c r="A35" i="12"/>
  <c r="A74" i="12" s="1"/>
  <c r="A34" i="12"/>
  <c r="A73" i="12" s="1"/>
  <c r="A30" i="12"/>
  <c r="A69" i="12" s="1"/>
  <c r="A29" i="12"/>
  <c r="A68" i="12" s="1"/>
  <c r="A28" i="12"/>
  <c r="A67" i="12" s="1"/>
  <c r="A27" i="12"/>
  <c r="A66" i="12" s="1"/>
  <c r="A26" i="12"/>
  <c r="A65" i="12" s="1"/>
  <c r="A25" i="12"/>
  <c r="A64" i="12" s="1"/>
  <c r="A24" i="12"/>
  <c r="A63" i="12" s="1"/>
  <c r="A23" i="12"/>
  <c r="A62" i="12" s="1"/>
  <c r="A22" i="12"/>
  <c r="A61" i="12" s="1"/>
  <c r="A17" i="12"/>
  <c r="B36" i="12" l="1"/>
  <c r="B86" i="12"/>
  <c r="B76" i="12"/>
  <c r="B46" i="12"/>
  <c r="B31" i="12"/>
  <c r="B42" i="12"/>
  <c r="B47" i="12" s="1"/>
  <c r="A52" i="11"/>
  <c r="A51" i="11"/>
  <c r="B44" i="11"/>
  <c r="B45" i="11"/>
  <c r="A45" i="11"/>
  <c r="A44" i="11"/>
  <c r="B34" i="11"/>
  <c r="B35" i="11"/>
  <c r="A35" i="11"/>
  <c r="A34" i="11"/>
  <c r="B40" i="11"/>
  <c r="B41" i="11"/>
  <c r="B39" i="11"/>
  <c r="A40" i="11"/>
  <c r="A41" i="11"/>
  <c r="A39" i="11"/>
  <c r="B24" i="11"/>
  <c r="B25" i="11"/>
  <c r="B26" i="11"/>
  <c r="B27" i="11"/>
  <c r="B28" i="11"/>
  <c r="B29" i="11"/>
  <c r="B30" i="11"/>
  <c r="B23" i="11"/>
  <c r="A30" i="11"/>
  <c r="A24" i="11"/>
  <c r="A25" i="11"/>
  <c r="A26" i="11"/>
  <c r="A27" i="11"/>
  <c r="A28" i="11"/>
  <c r="A29" i="11"/>
  <c r="A23" i="11"/>
  <c r="A22" i="11"/>
  <c r="B12" i="17" l="1"/>
  <c r="B11" i="16"/>
  <c r="B87" i="12"/>
  <c r="B12" i="18"/>
  <c r="B46" i="11"/>
  <c r="B31" i="11"/>
  <c r="B42" i="11"/>
  <c r="B47" i="11" s="1"/>
  <c r="B36" i="11"/>
  <c r="B11" i="14" l="1"/>
  <c r="B11" i="15" s="1"/>
  <c r="B11" i="13"/>
  <c r="A22" i="18" l="1"/>
  <c r="A21" i="18"/>
  <c r="B10" i="18"/>
  <c r="A6" i="18"/>
  <c r="A15" i="17"/>
  <c r="A15" i="18" s="1"/>
  <c r="B11" i="17"/>
  <c r="B10" i="17"/>
  <c r="B19" i="17"/>
  <c r="B22" i="17" s="1"/>
  <c r="A29" i="16"/>
  <c r="B9" i="16"/>
  <c r="A8" i="16"/>
  <c r="B18" i="16"/>
  <c r="B21" i="16" s="1"/>
  <c r="C9" i="20" s="1"/>
  <c r="B11" i="18" l="1"/>
  <c r="B20" i="18"/>
  <c r="B23" i="18" s="1"/>
  <c r="B41" i="15" l="1"/>
  <c r="B18" i="15"/>
  <c r="B31" i="21" s="1"/>
  <c r="B21" i="15" l="1"/>
  <c r="A21" i="15"/>
  <c r="B20" i="15"/>
  <c r="A20" i="15"/>
  <c r="A5" i="15"/>
  <c r="B10" i="15"/>
  <c r="B9" i="15"/>
  <c r="D3" i="1" l="1"/>
  <c r="B34" i="14"/>
  <c r="B18" i="14"/>
  <c r="B21" i="14" s="1"/>
  <c r="A14" i="14"/>
  <c r="A14" i="15" s="1"/>
  <c r="B10" i="14"/>
  <c r="B9" i="14"/>
  <c r="A29" i="13"/>
  <c r="B18" i="13"/>
  <c r="B21" i="13" s="1"/>
  <c r="B9" i="20" s="1"/>
  <c r="D9" i="20" s="1"/>
  <c r="B9" i="13" l="1"/>
  <c r="A8" i="13"/>
  <c r="A26" i="6" l="1"/>
  <c r="A25" i="6"/>
  <c r="A15" i="6" l="1"/>
  <c r="A14" i="6"/>
  <c r="A11" i="6"/>
  <c r="A5" i="6"/>
  <c r="A9" i="6"/>
  <c r="A8" i="6"/>
  <c r="D57" i="2" l="1"/>
  <c r="C57" i="2"/>
  <c r="D47" i="2"/>
  <c r="C47" i="2"/>
  <c r="B22" i="14" s="1"/>
  <c r="B23" i="15" s="1"/>
  <c r="C37" i="2"/>
  <c r="C34" i="2"/>
  <c r="D34" i="2"/>
  <c r="D37" i="2" s="1"/>
  <c r="D28" i="2"/>
  <c r="C25" i="2"/>
  <c r="C23" i="2"/>
  <c r="D23" i="2"/>
  <c r="C15" i="2"/>
  <c r="D15" i="2"/>
  <c r="D18" i="1"/>
  <c r="C18" i="1"/>
  <c r="C8" i="1"/>
  <c r="D8" i="1"/>
  <c r="D19" i="1" s="1"/>
  <c r="B9" i="12" l="1"/>
  <c r="B21" i="12"/>
  <c r="B32" i="12" s="1"/>
  <c r="B37" i="12" s="1"/>
  <c r="B48" i="12" s="1"/>
  <c r="B51" i="12" s="1"/>
  <c r="B52" i="12" s="1"/>
  <c r="B9" i="11"/>
  <c r="B21" i="11"/>
  <c r="B32" i="11" s="1"/>
  <c r="B23" i="17"/>
  <c r="B24" i="18" s="1"/>
  <c r="B29" i="17"/>
  <c r="B9" i="6"/>
  <c r="C26" i="2"/>
  <c r="D58" i="2"/>
  <c r="B29" i="15"/>
  <c r="B28" i="14"/>
  <c r="C58" i="2"/>
  <c r="D25" i="2"/>
  <c r="D26" i="2" s="1"/>
  <c r="D23" i="1"/>
  <c r="D25" i="1" s="1"/>
  <c r="C19" i="1"/>
  <c r="B20" i="6" l="1"/>
  <c r="B37" i="11"/>
  <c r="C23" i="1"/>
  <c r="C25" i="1" s="1"/>
  <c r="C59" i="2"/>
  <c r="B18" i="21"/>
  <c r="B24" i="21" s="1"/>
  <c r="B23" i="21" s="1"/>
  <c r="B11" i="21" s="1"/>
  <c r="B14" i="12"/>
  <c r="B15" i="12" s="1"/>
  <c r="B8" i="12"/>
  <c r="B8" i="11"/>
  <c r="B14" i="11"/>
  <c r="B8" i="16"/>
  <c r="B12" i="16" s="1"/>
  <c r="B30" i="1"/>
  <c r="B9" i="17" s="1"/>
  <c r="B9" i="18" s="1"/>
  <c r="D59" i="2"/>
  <c r="B30" i="16"/>
  <c r="B30" i="18"/>
  <c r="B29" i="1"/>
  <c r="B8" i="14" s="1"/>
  <c r="B8" i="15" s="1"/>
  <c r="B8" i="13"/>
  <c r="B12" i="13" s="1"/>
  <c r="B30" i="13"/>
  <c r="B19" i="15"/>
  <c r="B22" i="15" s="1"/>
  <c r="B21" i="6" l="1"/>
  <c r="B48" i="11"/>
  <c r="B29" i="16"/>
  <c r="C8" i="20"/>
  <c r="B29" i="13"/>
  <c r="B8" i="20"/>
  <c r="D8" i="20" s="1"/>
  <c r="B24" i="15"/>
  <c r="B23" i="14"/>
  <c r="B12" i="21" s="1"/>
  <c r="B13" i="21" s="1"/>
  <c r="B31" i="13"/>
  <c r="B11" i="20" s="1"/>
  <c r="B31" i="16"/>
  <c r="C11" i="20" s="1"/>
  <c r="B8" i="6"/>
  <c r="B13" i="18"/>
  <c r="B29" i="18" s="1"/>
  <c r="B25" i="18"/>
  <c r="B24" i="17"/>
  <c r="B14" i="6"/>
  <c r="B15" i="11"/>
  <c r="B15" i="6" s="1"/>
  <c r="B12" i="14"/>
  <c r="B27" i="14" s="1"/>
  <c r="B12" i="15"/>
  <c r="B28" i="15" s="1"/>
  <c r="B13" i="17"/>
  <c r="B28" i="17" s="1"/>
  <c r="B22" i="6" l="1"/>
  <c r="B51" i="11"/>
  <c r="D66" i="21"/>
  <c r="B106" i="21"/>
  <c r="B108" i="21"/>
  <c r="B110" i="21"/>
  <c r="B112" i="21"/>
  <c r="B114" i="21"/>
  <c r="B105" i="21"/>
  <c r="D63" i="21"/>
  <c r="D65" i="21"/>
  <c r="D62" i="21"/>
  <c r="B107" i="21"/>
  <c r="B109" i="21"/>
  <c r="B111" i="21"/>
  <c r="B113" i="21"/>
  <c r="B115" i="21"/>
  <c r="D68" i="21"/>
  <c r="D67" i="21"/>
  <c r="D64" i="21"/>
  <c r="D69" i="21"/>
  <c r="D70" i="21"/>
  <c r="D71" i="21"/>
  <c r="D72" i="21"/>
  <c r="D73" i="21"/>
  <c r="D74" i="21"/>
  <c r="D75" i="21"/>
  <c r="D76" i="21"/>
  <c r="C14" i="20"/>
  <c r="D11" i="20"/>
  <c r="B31" i="18"/>
  <c r="C31" i="18" s="1"/>
  <c r="C32" i="18" s="1"/>
  <c r="C19" i="20"/>
  <c r="B14" i="20"/>
  <c r="B29" i="14"/>
  <c r="C29" i="14" s="1"/>
  <c r="C30" i="14" s="1"/>
  <c r="B19" i="20"/>
  <c r="C29" i="15"/>
  <c r="B30" i="17"/>
  <c r="C30" i="17" s="1"/>
  <c r="C31" i="17" s="1"/>
  <c r="C29" i="17"/>
  <c r="C30" i="18"/>
  <c r="C28" i="14"/>
  <c r="D77" i="21" l="1"/>
  <c r="B25" i="6"/>
  <c r="B52" i="11"/>
  <c r="B26" i="6" s="1"/>
  <c r="B38" i="18"/>
  <c r="C29" i="18"/>
  <c r="D19" i="20"/>
  <c r="D14" i="20"/>
  <c r="B30" i="15"/>
  <c r="B26" i="18"/>
  <c r="C33" i="18" s="1"/>
  <c r="B25" i="17"/>
  <c r="C28" i="17"/>
  <c r="B25" i="15"/>
  <c r="B20" i="20" s="1"/>
  <c r="C30" i="15"/>
  <c r="C31" i="15" s="1"/>
  <c r="B37" i="15"/>
  <c r="B24" i="14"/>
  <c r="C27" i="14"/>
  <c r="C20" i="20" l="1"/>
  <c r="D20" i="20" s="1"/>
  <c r="C31" i="14"/>
  <c r="B15" i="20"/>
  <c r="B43" i="18"/>
  <c r="C21" i="20"/>
  <c r="C32" i="17"/>
  <c r="B36" i="17" s="1"/>
  <c r="C15" i="20"/>
  <c r="C28" i="15"/>
  <c r="C32" i="15"/>
  <c r="B35" i="14" l="1"/>
  <c r="B16" i="20"/>
  <c r="D15" i="20"/>
  <c r="B42" i="15"/>
  <c r="B21" i="20"/>
  <c r="D21" i="20" s="1"/>
  <c r="D44" i="18"/>
  <c r="C22" i="20"/>
  <c r="C16" i="20"/>
  <c r="D43" i="15" l="1"/>
  <c r="B22" i="20"/>
  <c r="D22" i="20" s="1"/>
  <c r="D36" i="14"/>
  <c r="B17" i="20"/>
  <c r="D16" i="20"/>
  <c r="D37" i="17"/>
  <c r="C17" i="20"/>
  <c r="D17" i="20" l="1"/>
</calcChain>
</file>

<file path=xl/comments1.xml><?xml version="1.0" encoding="utf-8"?>
<comments xmlns="http://schemas.openxmlformats.org/spreadsheetml/2006/main">
  <authors>
    <author>Cardoso</author>
    <author>Dr. Fábio Simões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B10" authorId="0">
      <text>
        <r>
          <rPr>
            <b/>
            <sz val="8"/>
            <color indexed="81"/>
            <rFont val="Tahoma"/>
            <family val="2"/>
          </rPr>
          <t>Manual de avaliação de empresas. ( Página 74)</t>
        </r>
      </text>
    </comment>
    <comment ref="B36" authorId="1">
      <text>
        <r>
          <rPr>
            <b/>
            <sz val="9"/>
            <color indexed="81"/>
            <rFont val="Tahoma"/>
            <family val="2"/>
          </rPr>
          <t>Pagina 100 do Relatorio e contas 2011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Pagina 87 do Relatorio de Contas de 2010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Cardoso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 xml:space="preserve">Relatorio de contas 2011, pagina 13 (Investimento Operacional)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Manual de avaliação de empresas. ( Página 74)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PME - Pequena e Média Entidade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b/>
            <sz val="8"/>
            <color indexed="81"/>
            <rFont val="Tahoma"/>
            <family val="2"/>
          </rPr>
          <t>Variação dos Free Cash-Flow. (Relatorio de contas 2011 página 13)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Cardoso</author>
  </authors>
  <commentList>
    <comment ref="B17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Manual de avaliação de empresas. ( Página 74)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PME - Pequena e Média Entidade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0">
      <text>
        <r>
          <rPr>
            <b/>
            <sz val="8"/>
            <color indexed="81"/>
            <rFont val="Tahoma"/>
            <family val="2"/>
          </rPr>
          <t>Variação dos Free Cash-Flow. (Relatorio de contas 2011 página 13)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Cardoso</author>
  </authors>
  <commentList>
    <comment ref="B17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PRm x BL</t>
        </r>
      </text>
    </comment>
    <comment ref="B38" authorId="0">
      <text>
        <r>
          <rPr>
            <b/>
            <sz val="8"/>
            <color indexed="81"/>
            <rFont val="Tahoma"/>
            <family val="2"/>
          </rPr>
          <t>Valor dado pela agencia Reuters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Variação dos Free Cash-Flow. (Relatorio de contas 2011 página 13)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Cardoso</author>
  </authors>
  <commentList>
    <comment ref="B10" authorId="0">
      <text>
        <r>
          <rPr>
            <b/>
            <sz val="8"/>
            <color indexed="81"/>
            <rFont val="Tahoma"/>
            <family val="2"/>
          </rPr>
          <t xml:space="preserve"> Relatorio Contas 2010 pag. 5 (Investimento Operacional)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Manual de avaliação de empresas. ( Página 74)</t>
        </r>
      </text>
    </comment>
    <comment ref="A19" authorId="0">
      <text>
        <r>
          <rPr>
            <b/>
            <sz val="8"/>
            <color indexed="81"/>
            <rFont val="Tahoma"/>
            <family val="2"/>
          </rPr>
          <t>PME - Pequena e Média Entidade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Cardoso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 xml:space="preserve"> Relatorio Contas 2010 pag. 5 (Investimento Operacional)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B19" authorId="0">
      <text>
        <r>
          <rPr>
            <b/>
            <sz val="8"/>
            <color indexed="81"/>
            <rFont val="Tahoma"/>
            <family val="2"/>
          </rPr>
          <t>Manual de avaliação de empresas. ( Página 74)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>PME - Pequena e Média Entidade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5" authorId="0">
      <text>
        <r>
          <rPr>
            <b/>
            <sz val="8"/>
            <color indexed="81"/>
            <rFont val="Tahoma"/>
            <family val="2"/>
          </rPr>
          <t>Variação dos Free Cash-Flow. (Relatorio de contas 2010 página 88)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Cardoso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 xml:space="preserve"> Relatorio Contas 2010 pag. 5 (Investimento Operacional)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 xml:space="preserve">Valor do bilhete do tesouro
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>PRm x BL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PME - Pequena e Média Entidade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Valor dado pela agencia Reuters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<sst xmlns="http://schemas.openxmlformats.org/spreadsheetml/2006/main" count="448" uniqueCount="221">
  <si>
    <t>Proveitos operacionais:</t>
  </si>
  <si>
    <t>Total de Proveitos Operacionais</t>
  </si>
  <si>
    <t>Custos operacionais:</t>
  </si>
  <si>
    <t>Provisões</t>
  </si>
  <si>
    <t>Total de Custos Operacionais</t>
  </si>
  <si>
    <t>Vendas e prestações de serviços (+)</t>
  </si>
  <si>
    <t>Outros proveitos operacionais (+)</t>
  </si>
  <si>
    <t>Custo das vendas (-)</t>
  </si>
  <si>
    <t>Variação da produção (+/-)</t>
  </si>
  <si>
    <t>Fornecimentos e serviços externos (-)</t>
  </si>
  <si>
    <t>Custos com o pessoal (-)</t>
  </si>
  <si>
    <t>Amortizações, depreciações e perdas por imparidade no goodwill e em ativos fixos tangíveis e intangíveis (-)</t>
  </si>
  <si>
    <t>Provisões (-/+)</t>
  </si>
  <si>
    <t>Outros custos operacionais (-)</t>
  </si>
  <si>
    <t>Resultado operacional</t>
  </si>
  <si>
    <t>Resultado Antes de Impostos</t>
  </si>
  <si>
    <t>Resultado liquido do exercicio</t>
  </si>
  <si>
    <t>Resultado Liquido do Exercicio</t>
  </si>
  <si>
    <t>Notas</t>
  </si>
  <si>
    <t>Custos e proveitos financeiros liquidos (-/+)</t>
  </si>
  <si>
    <t>Resultados relativos a empresas associadas (-/+)</t>
  </si>
  <si>
    <t>Resultados relativos a investimentos (-/+)</t>
  </si>
  <si>
    <t>Imposto sobre o rendimento (-)</t>
  </si>
  <si>
    <t>Ativos não correntes:</t>
  </si>
  <si>
    <t>Goodwill</t>
  </si>
  <si>
    <t>Ativos intangíveis</t>
  </si>
  <si>
    <t>Ativos fixos tangíveis</t>
  </si>
  <si>
    <t>Investimentos em associadas</t>
  </si>
  <si>
    <t>Outros investimentos</t>
  </si>
  <si>
    <t>Outras dívidas de terceiros</t>
  </si>
  <si>
    <t>Estado e outros entes públicos</t>
  </si>
  <si>
    <t>Outros ativos não correntes</t>
  </si>
  <si>
    <t>Ativos por impostos diferidos</t>
  </si>
  <si>
    <t>Ativos Correntes:</t>
  </si>
  <si>
    <t>Existências</t>
  </si>
  <si>
    <t>Clientes e adiantamentos a fornecedores</t>
  </si>
  <si>
    <t>Caixa e equivalentes de caixa</t>
  </si>
  <si>
    <t>Outros ativos correntes</t>
  </si>
  <si>
    <t>Ativos não correntes detidos para venda</t>
  </si>
  <si>
    <t>Total do Ativo</t>
  </si>
  <si>
    <t>Total de Ativos Correntes</t>
  </si>
  <si>
    <t>Total de Ativos Não Correntes</t>
  </si>
  <si>
    <t>Nota</t>
  </si>
  <si>
    <t>Sub-total</t>
  </si>
  <si>
    <t>Capital Próprio</t>
  </si>
  <si>
    <t>Capital</t>
  </si>
  <si>
    <t>Ações próprias</t>
  </si>
  <si>
    <t>Ajustamentos de conversão cambial</t>
  </si>
  <si>
    <t>Reservas</t>
  </si>
  <si>
    <t>Resultados transitados</t>
  </si>
  <si>
    <t>Total do Capital Próprio</t>
  </si>
  <si>
    <t>Sub-Total</t>
  </si>
  <si>
    <t>Capital próprio atribuível a acionistas interesses sem controlo</t>
  </si>
  <si>
    <t>Passivos Não Correntes:</t>
  </si>
  <si>
    <t>Passivos por impostos diferidos</t>
  </si>
  <si>
    <t>Beneficios pós-emprego</t>
  </si>
  <si>
    <t>Empréstimos</t>
  </si>
  <si>
    <t>Locações financeiras</t>
  </si>
  <si>
    <t>Outras dívidas a terceiros</t>
  </si>
  <si>
    <t>Outros passivos não correntes</t>
  </si>
  <si>
    <t>Total de Passivos Não Correntes</t>
  </si>
  <si>
    <t>Passivos Correntes</t>
  </si>
  <si>
    <t>Fornecedores e adiantamentos de clientes</t>
  </si>
  <si>
    <t>Outros passivos correntes</t>
  </si>
  <si>
    <t>Total de Passivos Correntes</t>
  </si>
  <si>
    <t>Total do Passivo</t>
  </si>
  <si>
    <t>Total do Passivo e capital próprio</t>
  </si>
  <si>
    <t>Opticas</t>
  </si>
  <si>
    <t>Entidade</t>
  </si>
  <si>
    <t>Investidor</t>
  </si>
  <si>
    <t>Anos</t>
  </si>
  <si>
    <t>WACC</t>
  </si>
  <si>
    <t>Taxa de rendibilidade sem risco</t>
  </si>
  <si>
    <t>Passivo</t>
  </si>
  <si>
    <t>Ativo</t>
  </si>
  <si>
    <t>Demonstrações Financeiras</t>
  </si>
  <si>
    <t>Demonstração de Resultados</t>
  </si>
  <si>
    <t>Balanço</t>
  </si>
  <si>
    <t>Modelos</t>
  </si>
  <si>
    <t>Voltar aos Pressupostos do Trabalho</t>
  </si>
  <si>
    <t>Determinação do Valor Substancial</t>
  </si>
  <si>
    <t>Valor Substancial</t>
  </si>
  <si>
    <t>Bruto</t>
  </si>
  <si>
    <t>Liquído</t>
  </si>
  <si>
    <t>Unidade: (10³€)</t>
  </si>
  <si>
    <t>Unidade: (10³ €)</t>
  </si>
  <si>
    <t>Variação em % (2011/2010)</t>
  </si>
  <si>
    <t>Descrição</t>
  </si>
  <si>
    <t>Drescrição</t>
  </si>
  <si>
    <r>
      <t>Unidade: (10</t>
    </r>
    <r>
      <rPr>
        <sz val="11"/>
        <color theme="1"/>
        <rFont val="Calibri"/>
        <family val="2"/>
      </rPr>
      <t>³ €)</t>
    </r>
  </si>
  <si>
    <t>Gastos em depreciações e amortizações</t>
  </si>
  <si>
    <t>Investimento em capital fixo</t>
  </si>
  <si>
    <t>Investimento em fundo maneio</t>
  </si>
  <si>
    <t>Total do Free Cash-Flow</t>
  </si>
  <si>
    <t>Free Cash-flows</t>
  </si>
  <si>
    <t>Prémio de risco relativo a grandes organizações</t>
  </si>
  <si>
    <t>Prémio adicional de risco sobre as PME</t>
  </si>
  <si>
    <t>Prémio adicional de risco específico</t>
  </si>
  <si>
    <t>Valor em %</t>
  </si>
  <si>
    <t>Taxa de crescimento esperado do cash-flow</t>
  </si>
  <si>
    <t>Determinação do Valor da organização</t>
  </si>
  <si>
    <t>Total do valor da organização (Ativo)</t>
  </si>
  <si>
    <t>Total do Custo do Capital Próprio (WACC)</t>
  </si>
  <si>
    <t>Calculo auxiliar:</t>
  </si>
  <si>
    <t>Ano de 2011</t>
  </si>
  <si>
    <t>Ano de 2010</t>
  </si>
  <si>
    <t>Taxa de Imposto Sobre o Rendimento (IRC)</t>
  </si>
  <si>
    <t>Taxa de juro = Juro/Passivo não corrente</t>
  </si>
  <si>
    <t>Taxa de juro após impostos</t>
  </si>
  <si>
    <t>Sub-total do Custo do Capital Próprio (WACC)</t>
  </si>
  <si>
    <t>Passivo não corrente</t>
  </si>
  <si>
    <t>Capital Próprio em % :</t>
  </si>
  <si>
    <t>Capital próprio</t>
  </si>
  <si>
    <t>Total do Capital Próprio em %</t>
  </si>
  <si>
    <t>WAACC= 1*2+3*4</t>
  </si>
  <si>
    <t>Custo do  Capital Alheio (%)</t>
  </si>
  <si>
    <t>Total do  Custo do Capital Próprio (WACC)</t>
  </si>
  <si>
    <t>WACC - Taxa de crescimento CF</t>
  </si>
  <si>
    <t>Património</t>
  </si>
  <si>
    <t xml:space="preserve">Variação do Modelo  de 2011/2010 </t>
  </si>
  <si>
    <t>Rendimento</t>
  </si>
  <si>
    <t>Optica do Investidor</t>
  </si>
  <si>
    <t>Optica da Entidade</t>
  </si>
  <si>
    <t>Determinação do valor da empresa através do valor contabilístico</t>
  </si>
  <si>
    <t>BALANÇO CONSOLIDADO DA POSIÇÃO FINANCEIRA EM 31 DEZEMBRO DE 2011 E 2010</t>
  </si>
  <si>
    <t>DEMONSTRAÇÕES  DE RESULTADOS CONSOLIDADAS DO RENDIMENTO INTEGRAL DOS EXERCICIOS FINDO EM 31 DEZEMBRO DE 2011 E 2010</t>
  </si>
  <si>
    <t>Método MCAPM</t>
  </si>
  <si>
    <t>Determinação do Custo do Capital Próprio (WACC)</t>
  </si>
  <si>
    <t>Beta do capital próprio alavancado (BL)</t>
  </si>
  <si>
    <t xml:space="preserve">Prémio de risco relativo a grandes organizações </t>
  </si>
  <si>
    <t>Prémio adicional de risco sobre as PME (PRd)</t>
  </si>
  <si>
    <t>Prémio adicional de risco específico (Pre)</t>
  </si>
  <si>
    <t>Cálculo Auxiliar do Beta do capital próprio alavancado:</t>
  </si>
  <si>
    <t>BU = BL/(1+(D/CP)*(1-T))</t>
  </si>
  <si>
    <t>BL = BU*(1+(D/CP)*(1-T))</t>
  </si>
  <si>
    <t>Método Buil-UP</t>
  </si>
  <si>
    <t>Atualização dos Cash-flows</t>
  </si>
  <si>
    <t>Calcule o WACC</t>
  </si>
  <si>
    <t>Total do WACC</t>
  </si>
  <si>
    <t>D + E = 1                         E*1,513 + E = 1</t>
  </si>
  <si>
    <t>Cálculo Auxiliar do xxxxx:</t>
  </si>
  <si>
    <t>Calculo Auxiliar do Debt to Equity Ratio</t>
  </si>
  <si>
    <t>Dedt to Equity Ratio (Passivo/Cap.Próprio)</t>
  </si>
  <si>
    <t xml:space="preserve">Valor </t>
  </si>
  <si>
    <t>D/E = 1,513                  D= E*1,513</t>
  </si>
  <si>
    <t>Capital Próprio (%)</t>
  </si>
  <si>
    <t>Custo do Capital Próprio</t>
  </si>
  <si>
    <t>Capital Alheio (%)</t>
  </si>
  <si>
    <t>Cálculo Auxiliar do Custo do Capital Próprio:</t>
  </si>
  <si>
    <t>Taxa de rendibilidade sem risco (Rf)</t>
  </si>
  <si>
    <t>Total do  Custo Médio do Capital Próprio (WACC)</t>
  </si>
  <si>
    <t>Determinação do Custo Médio do Capital Próprio (WACC)</t>
  </si>
  <si>
    <t>Sub-total do Custo médio do Capital Próprio (WACC)</t>
  </si>
  <si>
    <t>Custo do Capital Próprio (0,1+BL*Rf)</t>
  </si>
  <si>
    <t>Nota: Primeiro calcula-se o D+E=1 e só depois se cálcula o D/E</t>
  </si>
  <si>
    <t>Determinação o valor da organização, exibindo o valor de cada fase comtemplada na avaliação</t>
  </si>
  <si>
    <t>Designação</t>
  </si>
  <si>
    <t>Valor da organização</t>
  </si>
  <si>
    <t>Fase 1</t>
  </si>
  <si>
    <t>2011/2010</t>
  </si>
  <si>
    <t>2010/2009</t>
  </si>
  <si>
    <t>2009/2008</t>
  </si>
  <si>
    <t>2008/2007</t>
  </si>
  <si>
    <t>2007/2006</t>
  </si>
  <si>
    <t>Variações das taxas do Free Cash-Flow de anos anteriores</t>
  </si>
  <si>
    <t>2006/2005</t>
  </si>
  <si>
    <t>Free Cash-Flows</t>
  </si>
  <si>
    <t>Balanço Funcional</t>
  </si>
  <si>
    <t>Capitais Permanentes</t>
  </si>
  <si>
    <t>Capital Próprio ( 1 )</t>
  </si>
  <si>
    <r>
      <t>Unidade: (10</t>
    </r>
    <r>
      <rPr>
        <sz val="9"/>
        <color theme="1"/>
        <rFont val="Calibri"/>
        <family val="2"/>
      </rPr>
      <t>³</t>
    </r>
    <r>
      <rPr>
        <sz val="9"/>
        <color theme="1"/>
        <rFont val="Arial"/>
        <family val="2"/>
      </rPr>
      <t>€)</t>
    </r>
  </si>
  <si>
    <t>Total dos Passivos Não Correntes ( 2 )</t>
  </si>
  <si>
    <t>Total dos Capitais Permanentes ( 3 = 1 + 2 )</t>
  </si>
  <si>
    <t>Ativo de Exploração</t>
  </si>
  <si>
    <t>Investimentos</t>
  </si>
  <si>
    <t>Total dos Investimentos ( 4 )</t>
  </si>
  <si>
    <t>Total dos Ativos de Exploração ( 6 )</t>
  </si>
  <si>
    <t>Passivo de Exploração</t>
  </si>
  <si>
    <t>Total do Passivo de Exploração ( 7 )</t>
  </si>
  <si>
    <t>Fundo Maneio Necessário ( 8 = 6 - 7)</t>
  </si>
  <si>
    <t>Determinação do valor dos capitais permanentes e do fundo maneio necessário à exploração:</t>
  </si>
  <si>
    <t>Fundo Maneio Líquido ( 5 = 3 - 4)</t>
  </si>
  <si>
    <t>Tesouraria Líquida ( 9 = 5 - 8)</t>
  </si>
  <si>
    <t>Fundo Maneio liquido</t>
  </si>
  <si>
    <t>Tesouraria Líquida</t>
  </si>
  <si>
    <t>Desinvestimento em fundo maneio</t>
  </si>
  <si>
    <t>Diferença</t>
  </si>
  <si>
    <t>Análise hipotese:</t>
  </si>
  <si>
    <t>Atingir objetivo</t>
  </si>
  <si>
    <t>Análise de Hipotese:</t>
  </si>
  <si>
    <t>Atingir Objetivo</t>
  </si>
  <si>
    <t>Cálculo Auxiliar das Necessidades de Fundo Maneio em 2009</t>
  </si>
  <si>
    <t>Diferênça</t>
  </si>
  <si>
    <t>Analise de Hipotese: Atingir Objetivo</t>
  </si>
  <si>
    <t>Analise de Hipotese:</t>
  </si>
  <si>
    <t>Custo do Capital Alheio 3,665% * (1 -  0,2938)</t>
  </si>
  <si>
    <t>Fase 2</t>
  </si>
  <si>
    <t>Fase 3</t>
  </si>
  <si>
    <t xml:space="preserve">Análise de sensibilidade a variações aditivas no Wacc entre - 5% a + 5% (com intervalos de um ponto percentual): </t>
  </si>
  <si>
    <t>Variação</t>
  </si>
  <si>
    <t>2011</t>
  </si>
  <si>
    <t>2010</t>
  </si>
  <si>
    <t>Variação em %</t>
  </si>
  <si>
    <t>Wacc</t>
  </si>
  <si>
    <t>Taxa de Crescimento esperada do Cash-Flow</t>
  </si>
  <si>
    <t>Custo do capital alheio</t>
  </si>
  <si>
    <t>Wacc - taxa de crescimento do Cash-Flow</t>
  </si>
  <si>
    <t>OPTICA DA ENTIDADE</t>
  </si>
  <si>
    <t>OPTICA DO INVESTIDOR</t>
  </si>
  <si>
    <t>MÉTODO DO BUILD - UP</t>
  </si>
  <si>
    <t>Desinvestimento em Fundo maneio</t>
  </si>
  <si>
    <t>Raji x (1-t)</t>
  </si>
  <si>
    <t>Desinvestimento em Fundo Maneio</t>
  </si>
  <si>
    <t>Free Cash Flow</t>
  </si>
  <si>
    <t>Valor da Organização</t>
  </si>
  <si>
    <t>Total do valor da organização</t>
  </si>
  <si>
    <t>WACC= 1*2+3*4</t>
  </si>
  <si>
    <t>Quadro Resumo 2011/2010</t>
  </si>
  <si>
    <t>Determinação do Valor da empresa</t>
  </si>
  <si>
    <t>Total do valor da empresa (Ativo)</t>
  </si>
  <si>
    <t>MÉTODO DO CAPM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</si>
</sst>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#,##0.00\ &quot;€&quot;"/>
    <numFmt numFmtId="166" formatCode="#,##0\ &quot;€&quot;"/>
    <numFmt numFmtId="167" formatCode="0.000"/>
    <numFmt numFmtId="168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rgb="FF00B0F0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rgb="FFFF0000"/>
      <name val="Arial"/>
      <family val="2"/>
    </font>
    <font>
      <b/>
      <u/>
      <sz val="11"/>
      <color theme="10"/>
      <name val="Calibri"/>
      <family val="2"/>
    </font>
    <font>
      <b/>
      <u/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theme="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0" borderId="0" xfId="2" applyFont="1" applyFill="1" applyAlignment="1" applyProtection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0" borderId="1" xfId="0" applyNumberFormat="1" applyFont="1" applyBorder="1"/>
    <xf numFmtId="0" fontId="1" fillId="7" borderId="0" xfId="0" applyFont="1" applyFill="1"/>
    <xf numFmtId="0" fontId="1" fillId="10" borderId="0" xfId="0" applyFont="1" applyFill="1"/>
    <xf numFmtId="0" fontId="8" fillId="2" borderId="1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0" fillId="0" borderId="0" xfId="0" applyFont="1"/>
    <xf numFmtId="0" fontId="6" fillId="0" borderId="1" xfId="0" applyFont="1" applyBorder="1" applyProtection="1">
      <protection hidden="1"/>
    </xf>
    <xf numFmtId="0" fontId="6" fillId="0" borderId="1" xfId="0" applyFont="1" applyBorder="1" applyAlignment="1" applyProtection="1">
      <protection hidden="1"/>
    </xf>
    <xf numFmtId="165" fontId="6" fillId="0" borderId="1" xfId="0" applyNumberFormat="1" applyFont="1" applyBorder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protection hidden="1"/>
    </xf>
    <xf numFmtId="165" fontId="8" fillId="2" borderId="1" xfId="0" applyNumberFormat="1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6" fillId="0" borderId="1" xfId="0" applyFont="1" applyFill="1" applyBorder="1" applyProtection="1">
      <protection hidden="1"/>
    </xf>
    <xf numFmtId="0" fontId="8" fillId="9" borderId="1" xfId="0" applyFont="1" applyFill="1" applyBorder="1" applyAlignment="1" applyProtection="1">
      <alignment horizontal="center"/>
      <protection hidden="1"/>
    </xf>
    <xf numFmtId="0" fontId="6" fillId="9" borderId="1" xfId="0" applyFont="1" applyFill="1" applyBorder="1" applyAlignment="1" applyProtection="1">
      <protection hidden="1"/>
    </xf>
    <xf numFmtId="165" fontId="8" fillId="9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10" fontId="6" fillId="0" borderId="0" xfId="1" applyNumberFormat="1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3" fontId="6" fillId="0" borderId="1" xfId="0" applyNumberFormat="1" applyFont="1" applyBorder="1" applyProtection="1">
      <protection hidden="1"/>
    </xf>
    <xf numFmtId="0" fontId="6" fillId="9" borderId="1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3" fontId="0" fillId="0" borderId="0" xfId="0" applyNumberFormat="1" applyProtection="1"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Protection="1">
      <protection hidden="1"/>
    </xf>
    <xf numFmtId="165" fontId="8" fillId="6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14" fillId="0" borderId="0" xfId="2" applyFont="1" applyFill="1" applyAlignment="1" applyProtection="1">
      <alignment horizontal="center"/>
      <protection hidden="1"/>
    </xf>
    <xf numFmtId="0" fontId="8" fillId="0" borderId="0" xfId="0" applyFont="1" applyAlignment="1" applyProtection="1">
      <protection hidden="1"/>
    </xf>
    <xf numFmtId="0" fontId="6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166" fontId="6" fillId="0" borderId="0" xfId="0" applyNumberFormat="1" applyFont="1" applyProtection="1">
      <protection hidden="1"/>
    </xf>
    <xf numFmtId="165" fontId="6" fillId="0" borderId="0" xfId="0" applyNumberFormat="1" applyFont="1" applyProtection="1">
      <protection hidden="1"/>
    </xf>
    <xf numFmtId="0" fontId="6" fillId="0" borderId="0" xfId="0" applyFont="1" applyAlignment="1" applyProtection="1">
      <alignment horizontal="left" vertical="justify"/>
      <protection hidden="1"/>
    </xf>
    <xf numFmtId="0" fontId="5" fillId="0" borderId="0" xfId="0" applyFont="1" applyAlignment="1" applyProtection="1">
      <alignment horizontal="left" vertical="justify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9" fillId="5" borderId="10" xfId="0" applyFont="1" applyFill="1" applyBorder="1" applyAlignment="1" applyProtection="1">
      <alignment horizontal="center"/>
      <protection hidden="1"/>
    </xf>
    <xf numFmtId="165" fontId="9" fillId="5" borderId="11" xfId="0" applyNumberFormat="1" applyFont="1" applyFill="1" applyBorder="1" applyAlignment="1" applyProtection="1">
      <alignment horizontal="center"/>
      <protection hidden="1"/>
    </xf>
    <xf numFmtId="0" fontId="8" fillId="4" borderId="6" xfId="0" applyFont="1" applyFill="1" applyBorder="1" applyAlignment="1" applyProtection="1">
      <alignment horizontal="center"/>
      <protection hidden="1"/>
    </xf>
    <xf numFmtId="165" fontId="6" fillId="4" borderId="7" xfId="0" applyNumberFormat="1" applyFont="1" applyFill="1" applyBorder="1" applyProtection="1">
      <protection hidden="1"/>
    </xf>
    <xf numFmtId="0" fontId="6" fillId="3" borderId="8" xfId="0" applyFont="1" applyFill="1" applyBorder="1" applyProtection="1">
      <protection hidden="1"/>
    </xf>
    <xf numFmtId="165" fontId="6" fillId="3" borderId="9" xfId="0" applyNumberFormat="1" applyFont="1" applyFill="1" applyBorder="1" applyProtection="1">
      <protection hidden="1"/>
    </xf>
    <xf numFmtId="0" fontId="6" fillId="11" borderId="8" xfId="0" applyFont="1" applyFill="1" applyBorder="1" applyProtection="1">
      <protection hidden="1"/>
    </xf>
    <xf numFmtId="165" fontId="6" fillId="4" borderId="0" xfId="0" applyNumberFormat="1" applyFont="1" applyFill="1" applyBorder="1" applyProtection="1">
      <protection hidden="1"/>
    </xf>
    <xf numFmtId="0" fontId="8" fillId="3" borderId="6" xfId="0" applyFont="1" applyFill="1" applyBorder="1" applyAlignment="1" applyProtection="1">
      <alignment horizontal="center"/>
      <protection hidden="1"/>
    </xf>
    <xf numFmtId="165" fontId="6" fillId="3" borderId="7" xfId="0" applyNumberFormat="1" applyFont="1" applyFill="1" applyBorder="1" applyProtection="1">
      <protection hidden="1"/>
    </xf>
    <xf numFmtId="0" fontId="6" fillId="4" borderId="8" xfId="0" applyFont="1" applyFill="1" applyBorder="1" applyAlignment="1" applyProtection="1">
      <alignment horizontal="left"/>
      <protection hidden="1"/>
    </xf>
    <xf numFmtId="165" fontId="6" fillId="4" borderId="9" xfId="0" applyNumberFormat="1" applyFont="1" applyFill="1" applyBorder="1" applyProtection="1">
      <protection hidden="1"/>
    </xf>
    <xf numFmtId="0" fontId="6" fillId="12" borderId="8" xfId="0" applyFont="1" applyFill="1" applyBorder="1" applyAlignment="1" applyProtection="1">
      <alignment horizontal="left"/>
      <protection hidden="1"/>
    </xf>
    <xf numFmtId="165" fontId="6" fillId="12" borderId="9" xfId="0" applyNumberFormat="1" applyFont="1" applyFill="1" applyBorder="1" applyProtection="1">
      <protection hidden="1"/>
    </xf>
    <xf numFmtId="165" fontId="6" fillId="11" borderId="9" xfId="0" applyNumberFormat="1" applyFont="1" applyFill="1" applyBorder="1" applyProtection="1">
      <protection hidden="1"/>
    </xf>
    <xf numFmtId="0" fontId="6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justify" vertical="top"/>
      <protection hidden="1"/>
    </xf>
    <xf numFmtId="0" fontId="0" fillId="0" borderId="0" xfId="0" applyAlignment="1" applyProtection="1">
      <alignment horizontal="justify" vertical="top"/>
      <protection hidden="1"/>
    </xf>
    <xf numFmtId="10" fontId="6" fillId="0" borderId="0" xfId="0" applyNumberFormat="1" applyFont="1" applyAlignment="1" applyProtection="1">
      <alignment horizontal="center"/>
      <protection hidden="1"/>
    </xf>
    <xf numFmtId="9" fontId="6" fillId="0" borderId="0" xfId="1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164" fontId="6" fillId="3" borderId="9" xfId="1" applyNumberFormat="1" applyFont="1" applyFill="1" applyBorder="1" applyProtection="1">
      <protection hidden="1"/>
    </xf>
    <xf numFmtId="0" fontId="6" fillId="4" borderId="8" xfId="0" applyFont="1" applyFill="1" applyBorder="1" applyProtection="1">
      <protection hidden="1"/>
    </xf>
    <xf numFmtId="164" fontId="6" fillId="4" borderId="9" xfId="1" applyNumberFormat="1" applyFont="1" applyFill="1" applyBorder="1" applyProtection="1">
      <protection hidden="1"/>
    </xf>
    <xf numFmtId="0" fontId="6" fillId="4" borderId="12" xfId="0" applyFont="1" applyFill="1" applyBorder="1" applyProtection="1">
      <protection hidden="1"/>
    </xf>
    <xf numFmtId="164" fontId="6" fillId="4" borderId="0" xfId="1" applyNumberFormat="1" applyFont="1" applyFill="1" applyBorder="1" applyProtection="1">
      <protection hidden="1"/>
    </xf>
    <xf numFmtId="0" fontId="7" fillId="5" borderId="10" xfId="0" applyFont="1" applyFill="1" applyBorder="1" applyAlignment="1" applyProtection="1">
      <alignment horizontal="center"/>
      <protection hidden="1"/>
    </xf>
    <xf numFmtId="164" fontId="7" fillId="5" borderId="11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167" fontId="6" fillId="3" borderId="9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Protection="1">
      <protection hidden="1"/>
    </xf>
    <xf numFmtId="164" fontId="6" fillId="3" borderId="9" xfId="1" applyNumberFormat="1" applyFont="1" applyFill="1" applyBorder="1" applyAlignment="1" applyProtection="1">
      <alignment horizontal="center"/>
      <protection hidden="1"/>
    </xf>
    <xf numFmtId="0" fontId="6" fillId="3" borderId="8" xfId="0" applyFont="1" applyFill="1" applyBorder="1" applyAlignment="1" applyProtection="1">
      <alignment horizontal="center"/>
      <protection hidden="1"/>
    </xf>
    <xf numFmtId="10" fontId="6" fillId="3" borderId="9" xfId="1" applyNumberFormat="1" applyFont="1" applyFill="1" applyBorder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center"/>
      <protection hidden="1"/>
    </xf>
    <xf numFmtId="10" fontId="6" fillId="4" borderId="9" xfId="1" applyNumberFormat="1" applyFont="1" applyFill="1" applyBorder="1" applyAlignment="1" applyProtection="1">
      <alignment horizontal="center"/>
      <protection hidden="1"/>
    </xf>
    <xf numFmtId="0" fontId="0" fillId="0" borderId="12" xfId="0" applyFont="1" applyFill="1" applyBorder="1" applyAlignment="1" applyProtection="1">
      <alignment horizontal="center"/>
      <protection hidden="1"/>
    </xf>
    <xf numFmtId="10" fontId="0" fillId="0" borderId="0" xfId="1" applyNumberFormat="1" applyFont="1" applyFill="1" applyAlignment="1" applyProtection="1">
      <alignment horizontal="center"/>
      <protection hidden="1"/>
    </xf>
    <xf numFmtId="0" fontId="0" fillId="3" borderId="12" xfId="0" applyFont="1" applyFill="1" applyBorder="1" applyProtection="1">
      <protection hidden="1"/>
    </xf>
    <xf numFmtId="0" fontId="0" fillId="3" borderId="12" xfId="0" applyFont="1" applyFill="1" applyBorder="1" applyAlignment="1" applyProtection="1">
      <alignment horizontal="center"/>
      <protection hidden="1"/>
    </xf>
    <xf numFmtId="165" fontId="0" fillId="3" borderId="12" xfId="0" applyNumberFormat="1" applyFont="1" applyFill="1" applyBorder="1" applyProtection="1">
      <protection hidden="1"/>
    </xf>
    <xf numFmtId="0" fontId="0" fillId="13" borderId="0" xfId="0" applyFill="1" applyProtection="1">
      <protection hidden="1"/>
    </xf>
    <xf numFmtId="0" fontId="0" fillId="13" borderId="0" xfId="0" applyFill="1" applyAlignment="1" applyProtection="1">
      <alignment horizontal="center"/>
      <protection hidden="1"/>
    </xf>
    <xf numFmtId="165" fontId="0" fillId="13" borderId="0" xfId="0" applyNumberFormat="1" applyFill="1" applyProtection="1">
      <protection hidden="1"/>
    </xf>
    <xf numFmtId="0" fontId="0" fillId="13" borderId="16" xfId="0" applyFill="1" applyBorder="1" applyAlignment="1" applyProtection="1">
      <alignment horizontal="center"/>
      <protection hidden="1"/>
    </xf>
    <xf numFmtId="165" fontId="0" fillId="13" borderId="16" xfId="0" applyNumberFormat="1" applyFill="1" applyBorder="1" applyProtection="1">
      <protection hidden="1"/>
    </xf>
    <xf numFmtId="165" fontId="0" fillId="15" borderId="0" xfId="0" applyNumberFormat="1" applyFill="1" applyBorder="1" applyProtection="1">
      <protection hidden="1"/>
    </xf>
    <xf numFmtId="0" fontId="0" fillId="13" borderId="0" xfId="0" applyFill="1" applyBorder="1" applyAlignment="1" applyProtection="1">
      <alignment horizontal="center"/>
      <protection hidden="1"/>
    </xf>
    <xf numFmtId="165" fontId="0" fillId="13" borderId="0" xfId="0" applyNumberFormat="1" applyFill="1" applyBorder="1" applyProtection="1">
      <protection hidden="1"/>
    </xf>
    <xf numFmtId="0" fontId="0" fillId="15" borderId="17" xfId="0" applyFill="1" applyBorder="1" applyAlignment="1" applyProtection="1">
      <alignment horizontal="center"/>
      <protection hidden="1"/>
    </xf>
    <xf numFmtId="165" fontId="0" fillId="15" borderId="17" xfId="0" applyNumberFormat="1" applyFill="1" applyBorder="1" applyProtection="1">
      <protection hidden="1"/>
    </xf>
    <xf numFmtId="0" fontId="0" fillId="15" borderId="0" xfId="0" applyFill="1" applyBorder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165" fontId="1" fillId="15" borderId="16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165" fontId="1" fillId="0" borderId="0" xfId="0" applyNumberFormat="1" applyFont="1" applyFill="1" applyBorder="1" applyProtection="1">
      <protection hidden="1"/>
    </xf>
    <xf numFmtId="9" fontId="0" fillId="13" borderId="0" xfId="1" applyFont="1" applyFill="1" applyAlignment="1" applyProtection="1">
      <alignment horizontal="center"/>
      <protection hidden="1"/>
    </xf>
    <xf numFmtId="164" fontId="0" fillId="13" borderId="0" xfId="0" applyNumberFormat="1" applyFill="1" applyProtection="1">
      <protection hidden="1"/>
    </xf>
    <xf numFmtId="0" fontId="0" fillId="0" borderId="0" xfId="0" applyFill="1" applyProtection="1">
      <protection hidden="1"/>
    </xf>
    <xf numFmtId="9" fontId="0" fillId="15" borderId="0" xfId="1" applyFont="1" applyFill="1" applyAlignment="1" applyProtection="1">
      <alignment horizontal="center"/>
      <protection hidden="1"/>
    </xf>
    <xf numFmtId="164" fontId="0" fillId="15" borderId="0" xfId="0" applyNumberFormat="1" applyFill="1" applyProtection="1">
      <protection hidden="1"/>
    </xf>
    <xf numFmtId="165" fontId="0" fillId="15" borderId="0" xfId="0" applyNumberFormat="1" applyFill="1" applyProtection="1">
      <protection hidden="1"/>
    </xf>
    <xf numFmtId="165" fontId="7" fillId="5" borderId="11" xfId="0" applyNumberFormat="1" applyFont="1" applyFill="1" applyBorder="1" applyAlignment="1" applyProtection="1">
      <alignment horizontal="center"/>
      <protection hidden="1"/>
    </xf>
    <xf numFmtId="164" fontId="6" fillId="0" borderId="0" xfId="1" applyNumberFormat="1" applyFon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165" fontId="20" fillId="0" borderId="0" xfId="0" applyNumberFormat="1" applyFont="1" applyAlignment="1" applyProtection="1">
      <alignment horizontal="center"/>
      <protection hidden="1"/>
    </xf>
    <xf numFmtId="0" fontId="6" fillId="3" borderId="6" xfId="0" applyFont="1" applyFill="1" applyBorder="1" applyProtection="1">
      <protection hidden="1"/>
    </xf>
    <xf numFmtId="164" fontId="6" fillId="3" borderId="7" xfId="1" applyNumberFormat="1" applyFont="1" applyFill="1" applyBorder="1" applyProtection="1">
      <protection hidden="1"/>
    </xf>
    <xf numFmtId="164" fontId="7" fillId="5" borderId="11" xfId="0" applyNumberFormat="1" applyFont="1" applyFill="1" applyBorder="1" applyAlignment="1" applyProtection="1">
      <alignment horizontal="center"/>
      <protection hidden="1"/>
    </xf>
    <xf numFmtId="10" fontId="6" fillId="0" borderId="0" xfId="1" applyNumberFormat="1" applyFont="1" applyProtection="1">
      <protection hidden="1"/>
    </xf>
    <xf numFmtId="10" fontId="7" fillId="5" borderId="11" xfId="0" applyNumberFormat="1" applyFont="1" applyFill="1" applyBorder="1" applyAlignment="1" applyProtection="1">
      <alignment horizontal="center"/>
      <protection hidden="1"/>
    </xf>
    <xf numFmtId="164" fontId="7" fillId="5" borderId="10" xfId="1" applyNumberFormat="1" applyFont="1" applyFill="1" applyBorder="1" applyAlignment="1" applyProtection="1">
      <alignment horizontal="center"/>
      <protection hidden="1"/>
    </xf>
    <xf numFmtId="10" fontId="9" fillId="0" borderId="11" xfId="0" applyNumberFormat="1" applyFont="1" applyFill="1" applyBorder="1" applyProtection="1">
      <protection hidden="1"/>
    </xf>
    <xf numFmtId="164" fontId="0" fillId="0" borderId="1" xfId="1" applyNumberFormat="1" applyFont="1" applyBorder="1" applyProtection="1">
      <protection hidden="1"/>
    </xf>
    <xf numFmtId="168" fontId="0" fillId="0" borderId="0" xfId="0" applyNumberFormat="1" applyProtection="1">
      <protection hidden="1"/>
    </xf>
    <xf numFmtId="165" fontId="6" fillId="0" borderId="0" xfId="0" applyNumberFormat="1" applyFont="1" applyAlignment="1" applyProtection="1">
      <alignment horizontal="center"/>
      <protection hidden="1"/>
    </xf>
    <xf numFmtId="167" fontId="6" fillId="0" borderId="0" xfId="1" applyNumberFormat="1" applyFont="1" applyProtection="1"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7" fontId="0" fillId="0" borderId="0" xfId="1" applyNumberFormat="1" applyFont="1" applyAlignment="1" applyProtection="1">
      <alignment horizontal="center"/>
      <protection hidden="1"/>
    </xf>
    <xf numFmtId="2" fontId="0" fillId="0" borderId="0" xfId="1" applyNumberFormat="1" applyFont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5" fontId="6" fillId="3" borderId="8" xfId="0" applyNumberFormat="1" applyFont="1" applyFill="1" applyBorder="1" applyProtection="1">
      <protection hidden="1"/>
    </xf>
    <xf numFmtId="10" fontId="13" fillId="3" borderId="9" xfId="1" applyNumberFormat="1" applyFont="1" applyFill="1" applyBorder="1" applyProtection="1">
      <protection hidden="1"/>
    </xf>
    <xf numFmtId="164" fontId="6" fillId="4" borderId="8" xfId="0" applyNumberFormat="1" applyFont="1" applyFill="1" applyBorder="1" applyProtection="1">
      <protection hidden="1"/>
    </xf>
    <xf numFmtId="10" fontId="6" fillId="11" borderId="9" xfId="1" applyNumberFormat="1" applyFont="1" applyFill="1" applyBorder="1" applyProtection="1">
      <protection hidden="1"/>
    </xf>
    <xf numFmtId="164" fontId="6" fillId="3" borderId="8" xfId="0" applyNumberFormat="1" applyFont="1" applyFill="1" applyBorder="1" applyProtection="1">
      <protection hidden="1"/>
    </xf>
    <xf numFmtId="10" fontId="6" fillId="3" borderId="9" xfId="1" applyNumberFormat="1" applyFont="1" applyFill="1" applyBorder="1" applyProtection="1">
      <protection hidden="1"/>
    </xf>
    <xf numFmtId="165" fontId="6" fillId="4" borderId="12" xfId="0" applyNumberFormat="1" applyFont="1" applyFill="1" applyBorder="1" applyProtection="1">
      <protection hidden="1"/>
    </xf>
    <xf numFmtId="10" fontId="13" fillId="11" borderId="9" xfId="1" applyNumberFormat="1" applyFont="1" applyFill="1" applyBorder="1" applyProtection="1">
      <protection hidden="1"/>
    </xf>
    <xf numFmtId="164" fontId="6" fillId="4" borderId="12" xfId="0" applyNumberFormat="1" applyFont="1" applyFill="1" applyBorder="1" applyProtection="1">
      <protection hidden="1"/>
    </xf>
    <xf numFmtId="0" fontId="15" fillId="6" borderId="0" xfId="2" applyFont="1" applyFill="1" applyAlignment="1" applyProtection="1">
      <alignment horizontal="center"/>
      <protection locked="0"/>
    </xf>
    <xf numFmtId="0" fontId="15" fillId="8" borderId="0" xfId="2" applyFont="1" applyFill="1" applyAlignment="1" applyProtection="1">
      <alignment horizontal="center"/>
      <protection locked="0"/>
    </xf>
    <xf numFmtId="0" fontId="15" fillId="10" borderId="0" xfId="2" applyFont="1" applyFill="1" applyAlignment="1" applyProtection="1">
      <alignment horizontal="center"/>
      <protection locked="0"/>
    </xf>
    <xf numFmtId="0" fontId="1" fillId="6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5" fillId="0" borderId="0" xfId="2" applyFont="1" applyAlignment="1" applyProtection="1"/>
    <xf numFmtId="0" fontId="15" fillId="10" borderId="0" xfId="2" applyFont="1" applyFill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vertical="top" wrapText="1"/>
      <protection hidden="1"/>
    </xf>
    <xf numFmtId="0" fontId="6" fillId="0" borderId="2" xfId="0" applyFont="1" applyBorder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vertical="center" wrapText="1"/>
      <protection hidden="1"/>
    </xf>
    <xf numFmtId="165" fontId="6" fillId="0" borderId="2" xfId="0" applyNumberFormat="1" applyFont="1" applyBorder="1" applyAlignment="1" applyProtection="1">
      <alignment vertical="center" wrapText="1"/>
      <protection hidden="1"/>
    </xf>
    <xf numFmtId="165" fontId="6" fillId="0" borderId="3" xfId="0" applyNumberFormat="1" applyFont="1" applyBorder="1" applyAlignment="1" applyProtection="1">
      <alignment vertical="center" wrapText="1"/>
      <protection hidden="1"/>
    </xf>
    <xf numFmtId="0" fontId="14" fillId="0" borderId="0" xfId="2" applyFont="1" applyFill="1" applyAlignment="1" applyProtection="1">
      <alignment horizontal="center"/>
    </xf>
    <xf numFmtId="0" fontId="8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6" fillId="0" borderId="4" xfId="0" applyFont="1" applyBorder="1" applyAlignment="1" applyProtection="1">
      <alignment vertical="top" wrapText="1"/>
      <protection hidden="1"/>
    </xf>
    <xf numFmtId="0" fontId="6" fillId="0" borderId="5" xfId="0" applyFont="1" applyBorder="1" applyAlignment="1" applyProtection="1">
      <alignment vertical="top" wrapText="1"/>
      <protection hidden="1"/>
    </xf>
    <xf numFmtId="0" fontId="14" fillId="0" borderId="0" xfId="2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left" vertical="justify"/>
      <protection hidden="1"/>
    </xf>
    <xf numFmtId="0" fontId="8" fillId="0" borderId="0" xfId="0" applyFont="1" applyAlignment="1" applyProtection="1">
      <alignment horizontal="justify" vertical="top"/>
      <protection hidden="1"/>
    </xf>
    <xf numFmtId="0" fontId="1" fillId="0" borderId="0" xfId="0" applyFont="1" applyAlignment="1" applyProtection="1">
      <alignment horizontal="justify" vertical="top"/>
      <protection hidden="1"/>
    </xf>
    <xf numFmtId="0" fontId="1" fillId="13" borderId="16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15" borderId="16" xfId="0" applyFont="1" applyFill="1" applyBorder="1" applyAlignment="1" applyProtection="1">
      <alignment horizontal="center" vertical="center" wrapText="1"/>
      <protection hidden="1"/>
    </xf>
    <xf numFmtId="0" fontId="9" fillId="5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" fillId="15" borderId="16" xfId="0" applyFont="1" applyFill="1" applyBorder="1" applyAlignment="1" applyProtection="1">
      <alignment horizontal="right"/>
      <protection hidden="1"/>
    </xf>
    <xf numFmtId="0" fontId="0" fillId="0" borderId="16" xfId="0" applyBorder="1" applyAlignment="1" applyProtection="1">
      <alignment horizontal="right"/>
      <protection hidden="1"/>
    </xf>
    <xf numFmtId="0" fontId="9" fillId="5" borderId="14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8" fillId="0" borderId="0" xfId="0" applyFont="1" applyAlignment="1" applyProtection="1">
      <protection hidden="1"/>
    </xf>
    <xf numFmtId="0" fontId="6" fillId="0" borderId="0" xfId="0" applyFont="1" applyAlignment="1" applyProtection="1">
      <protection hidden="1"/>
    </xf>
    <xf numFmtId="0" fontId="0" fillId="0" borderId="0" xfId="0" applyAlignment="1" applyProtection="1">
      <alignment horizontal="justify" vertical="top"/>
      <protection hidden="1"/>
    </xf>
    <xf numFmtId="0" fontId="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5" fillId="0" borderId="0" xfId="2" applyFont="1" applyFill="1" applyAlignment="1" applyProtection="1">
      <alignment horizontal="center"/>
      <protection hidden="1"/>
    </xf>
    <xf numFmtId="0" fontId="7" fillId="14" borderId="14" xfId="0" applyFont="1" applyFill="1" applyBorder="1" applyAlignment="1" applyProtection="1">
      <alignment horizontal="center" wrapText="1"/>
      <protection hidden="1"/>
    </xf>
    <xf numFmtId="0" fontId="0" fillId="10" borderId="14" xfId="0" applyFill="1" applyBorder="1" applyAlignment="1" applyProtection="1">
      <alignment horizontal="center" wrapText="1"/>
      <protection hidden="1"/>
    </xf>
    <xf numFmtId="0" fontId="7" fillId="5" borderId="15" xfId="0" applyFont="1" applyFill="1" applyBorder="1" applyAlignment="1" applyProtection="1">
      <alignment horizontal="center" wrapText="1"/>
      <protection hidden="1"/>
    </xf>
    <xf numFmtId="0" fontId="0" fillId="0" borderId="15" xfId="0" applyBorder="1" applyAlignment="1" applyProtection="1">
      <alignment horizontal="center" wrapText="1"/>
      <protection hidden="1"/>
    </xf>
    <xf numFmtId="0" fontId="7" fillId="5" borderId="14" xfId="0" applyFont="1" applyFill="1" applyBorder="1" applyAlignment="1" applyProtection="1">
      <alignment horizontal="center" wrapText="1"/>
      <protection hidden="1"/>
    </xf>
    <xf numFmtId="0" fontId="0" fillId="0" borderId="14" xfId="0" applyBorder="1" applyAlignment="1" applyProtection="1">
      <alignment horizontal="center" wrapText="1"/>
      <protection hidden="1"/>
    </xf>
  </cellXfs>
  <cellStyles count="3">
    <cellStyle name="Hiperligação" xfId="2" builtinId="8"/>
    <cellStyle name="Normal" xfId="0" builtinId="0"/>
    <cellStyle name="Percentagem" xfId="1" builtinId="5"/>
  </cellStyles>
  <dxfs count="228"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4" formatCode="0.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numFmt numFmtId="164" formatCode="0.000%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4" formatCode="0.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numFmt numFmtId="165" formatCode="#,##0.00\ &quot;€&quot;"/>
      <protection locked="1" hidden="1"/>
    </dxf>
    <dxf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numFmt numFmtId="164" formatCode="0.000%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4" formatCode="0.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numFmt numFmtId="164" formatCode="0.000%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4" formatCode="0.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numFmt numFmtId="165" formatCode="#,##0.00\ &quot;€&quot;"/>
      <protection locked="1" hidden="1"/>
    </dxf>
    <dxf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numFmt numFmtId="164" formatCode="0.000%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0.000%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4" formatCode="0.00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numFmt numFmtId="167" formatCode="0.000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165" formatCode="#,##0.00\ &quot;€&quot;"/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alignment horizontal="center" vertical="bottom" textRotation="0" wrapText="0" relative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#,##0.0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numFmt numFmtId="165" formatCode="#,##0.00\ &quot;€&quot;"/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#,##0\ &quot;€&quot;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6715148327480675"/>
                  <c:y val="-0.32125182268883057"/>
                </c:manualLayout>
              </c:layout>
              <c:numFmt formatCode="General" sourceLinked="0"/>
            </c:trendlineLbl>
          </c:trendline>
          <c:xVal>
            <c:numRef>
              <c:f>'Atualizaçao Cash flows'!$B$55:$B$61</c:f>
              <c:numCache>
                <c:formatCode>General</c:formatCode>
                <c:ptCount val="7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</c:numCache>
            </c:numRef>
          </c:xVal>
          <c:yVal>
            <c:numRef>
              <c:f>'Atualizaçao Cash flows'!$C$55:$C$61</c:f>
              <c:numCache>
                <c:formatCode>#,##0.00\ "€"</c:formatCode>
                <c:ptCount val="7"/>
                <c:pt idx="0">
                  <c:v>733644.09138536977</c:v>
                </c:pt>
                <c:pt idx="1">
                  <c:v>634207.05439243536</c:v>
                </c:pt>
                <c:pt idx="2">
                  <c:v>584642.02705093066</c:v>
                </c:pt>
                <c:pt idx="3">
                  <c:v>564704.48181212624</c:v>
                </c:pt>
                <c:pt idx="4">
                  <c:v>545826.41965364479</c:v>
                </c:pt>
                <c:pt idx="5">
                  <c:v>478900</c:v>
                </c:pt>
                <c:pt idx="6">
                  <c:v>455400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861952"/>
        <c:axId val="208862528"/>
      </c:scatterChart>
      <c:valAx>
        <c:axId val="2088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62528"/>
        <c:crosses val="autoZero"/>
        <c:crossBetween val="midCat"/>
      </c:valAx>
      <c:valAx>
        <c:axId val="208862528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208861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0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1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9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A11BC53D-7D05-49DE-BEB0-95805595B6CB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B7BEB07B-EC41-4DFA-AA00-F5E740CFE4D0}" type="presOf" srcId="{5670A6BC-B09F-4616-ACD7-48582484E132}" destId="{BA98E764-3434-43BA-BFB8-5AABFBD3401A}" srcOrd="0" destOrd="0" presId="urn:microsoft.com/office/officeart/2005/8/layout/hierarchy4"/>
    <dgm:cxn modelId="{6A422E3D-BA34-4F73-9856-FDE3414D3A95}" type="presParOf" srcId="{BA98E764-3434-43BA-BFB8-5AABFBD3401A}" destId="{EF92A37C-1983-491C-A3FB-6D5489A76ABB}" srcOrd="0" destOrd="0" presId="urn:microsoft.com/office/officeart/2005/8/layout/hierarchy4"/>
    <dgm:cxn modelId="{999E3A81-F7D3-4ACD-A192-3735D729B9C0}" type="presParOf" srcId="{EF92A37C-1983-491C-A3FB-6D5489A76ABB}" destId="{CE175DE0-1BD8-4EA5-A43A-AD782B5EBC7B}" srcOrd="0" destOrd="0" presId="urn:microsoft.com/office/officeart/2005/8/layout/hierarchy4"/>
    <dgm:cxn modelId="{876313B1-0871-4521-B82A-46145F187C0A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0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5E1C193D-68A6-47E9-B539-670641BEF886}" type="presOf" srcId="{CFE8EB02-92D8-49A6-87E6-130764881194}" destId="{CE175DE0-1BD8-4EA5-A43A-AD782B5EBC7B}" srcOrd="0" destOrd="0" presId="urn:microsoft.com/office/officeart/2005/8/layout/hierarchy4"/>
    <dgm:cxn modelId="{21D7D559-671F-416B-80B0-9F4AE734ACB9}" type="presOf" srcId="{5670A6BC-B09F-4616-ACD7-48582484E132}" destId="{BA98E764-3434-43BA-BFB8-5AABFBD3401A}" srcOrd="0" destOrd="0" presId="urn:microsoft.com/office/officeart/2005/8/layout/hierarchy4"/>
    <dgm:cxn modelId="{B34FD92A-D085-401B-97E8-464568C2C733}" type="presParOf" srcId="{BA98E764-3434-43BA-BFB8-5AABFBD3401A}" destId="{EF92A37C-1983-491C-A3FB-6D5489A76ABB}" srcOrd="0" destOrd="0" presId="urn:microsoft.com/office/officeart/2005/8/layout/hierarchy4"/>
    <dgm:cxn modelId="{8EDCD71E-6D2C-42CA-94C5-731BE23A135A}" type="presParOf" srcId="{EF92A37C-1983-491C-A3FB-6D5489A76ABB}" destId="{CE175DE0-1BD8-4EA5-A43A-AD782B5EBC7B}" srcOrd="0" destOrd="0" presId="urn:microsoft.com/office/officeart/2005/8/layout/hierarchy4"/>
    <dgm:cxn modelId="{E33FD90C-D316-442A-AC25-F35A367F8FAC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1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36EC10A1-27AF-455C-8D4A-4B9A8C8E641C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2D2E389C-96EC-47FE-856F-CAF61E7565C2}" type="presOf" srcId="{5670A6BC-B09F-4616-ACD7-48582484E132}" destId="{BA98E764-3434-43BA-BFB8-5AABFBD3401A}" srcOrd="0" destOrd="0" presId="urn:microsoft.com/office/officeart/2005/8/layout/hierarchy4"/>
    <dgm:cxn modelId="{89B8A984-A5C4-44D2-B0F7-897E471E0D5C}" type="presParOf" srcId="{BA98E764-3434-43BA-BFB8-5AABFBD3401A}" destId="{EF92A37C-1983-491C-A3FB-6D5489A76ABB}" srcOrd="0" destOrd="0" presId="urn:microsoft.com/office/officeart/2005/8/layout/hierarchy4"/>
    <dgm:cxn modelId="{41606B62-0FE0-4EE7-A5EE-AE4E97A15B89}" type="presParOf" srcId="{EF92A37C-1983-491C-A3FB-6D5489A76ABB}" destId="{CE175DE0-1BD8-4EA5-A43A-AD782B5EBC7B}" srcOrd="0" destOrd="0" presId="urn:microsoft.com/office/officeart/2005/8/layout/hierarchy4"/>
    <dgm:cxn modelId="{5FAE8426-439E-485A-9816-78EF39302629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2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DF10F062-6646-445C-9BAD-348E59A64AD7}" type="presOf" srcId="{5670A6BC-B09F-4616-ACD7-48582484E132}" destId="{BA98E764-3434-43BA-BFB8-5AABFBD3401A}" srcOrd="0" destOrd="0" presId="urn:microsoft.com/office/officeart/2005/8/layout/hierarchy4"/>
    <dgm:cxn modelId="{3043D4CF-F3D0-4824-B307-8E549C1D20D5}" type="presOf" srcId="{CFE8EB02-92D8-49A6-87E6-130764881194}" destId="{CE175DE0-1BD8-4EA5-A43A-AD782B5EBC7B}" srcOrd="0" destOrd="0" presId="urn:microsoft.com/office/officeart/2005/8/layout/hierarchy4"/>
    <dgm:cxn modelId="{B6A07FCF-5FC0-43BC-9B70-544BA7128297}" type="presParOf" srcId="{BA98E764-3434-43BA-BFB8-5AABFBD3401A}" destId="{EF92A37C-1983-491C-A3FB-6D5489A76ABB}" srcOrd="0" destOrd="0" presId="urn:microsoft.com/office/officeart/2005/8/layout/hierarchy4"/>
    <dgm:cxn modelId="{0506F1F5-715C-4BFE-9F44-EF9D5A24568E}" type="presParOf" srcId="{EF92A37C-1983-491C-A3FB-6D5489A76ABB}" destId="{CE175DE0-1BD8-4EA5-A43A-AD782B5EBC7B}" srcOrd="0" destOrd="0" presId="urn:microsoft.com/office/officeart/2005/8/layout/hierarchy4"/>
    <dgm:cxn modelId="{17AB2012-96E8-4B86-92D9-33FBFC830655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13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A773A7BC-7B3F-4BF1-B38A-7D437ECBD580}" type="presOf" srcId="{5670A6BC-B09F-4616-ACD7-48582484E132}" destId="{BA98E764-3434-43BA-BFB8-5AABFBD3401A}" srcOrd="0" destOrd="0" presId="urn:microsoft.com/office/officeart/2005/8/layout/hierarchy4"/>
    <dgm:cxn modelId="{D193C7C9-8525-4503-8CE2-8BEFD914E6B1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8B57D8E5-0F87-48B5-9894-6B3887A7F583}" type="presParOf" srcId="{BA98E764-3434-43BA-BFB8-5AABFBD3401A}" destId="{EF92A37C-1983-491C-A3FB-6D5489A76ABB}" srcOrd="0" destOrd="0" presId="urn:microsoft.com/office/officeart/2005/8/layout/hierarchy4"/>
    <dgm:cxn modelId="{25739CE5-0A71-4DBD-96FF-F6B7FD83C77E}" type="presParOf" srcId="{EF92A37C-1983-491C-A3FB-6D5489A76ABB}" destId="{CE175DE0-1BD8-4EA5-A43A-AD782B5EBC7B}" srcOrd="0" destOrd="0" presId="urn:microsoft.com/office/officeart/2005/8/layout/hierarchy4"/>
    <dgm:cxn modelId="{86E8F72E-CFCE-4432-98FF-9FEE1133E083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427E38AD-70D1-4EF4-9069-84DD60FF8CDE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1BC0EAA4-F798-45DF-A349-3B3E64450DD7}" type="presOf" srcId="{5670A6BC-B09F-4616-ACD7-48582484E132}" destId="{BA98E764-3434-43BA-BFB8-5AABFBD3401A}" srcOrd="0" destOrd="0" presId="urn:microsoft.com/office/officeart/2005/8/layout/hierarchy4"/>
    <dgm:cxn modelId="{1A62892F-033F-4A0F-A13F-6E2411D25DAB}" type="presParOf" srcId="{BA98E764-3434-43BA-BFB8-5AABFBD3401A}" destId="{EF92A37C-1983-491C-A3FB-6D5489A76ABB}" srcOrd="0" destOrd="0" presId="urn:microsoft.com/office/officeart/2005/8/layout/hierarchy4"/>
    <dgm:cxn modelId="{7B9BD722-3775-4631-AF2D-08765C707610}" type="presParOf" srcId="{EF92A37C-1983-491C-A3FB-6D5489A76ABB}" destId="{CE175DE0-1BD8-4EA5-A43A-AD782B5EBC7B}" srcOrd="0" destOrd="0" presId="urn:microsoft.com/office/officeart/2005/8/layout/hierarchy4"/>
    <dgm:cxn modelId="{03429040-F590-4D10-9BC6-D4690894396B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3464A1C4-4355-4586-AC10-D400F0D2FFC2}" type="presOf" srcId="{5670A6BC-B09F-4616-ACD7-48582484E132}" destId="{BA98E764-3434-43BA-BFB8-5AABFBD3401A}" srcOrd="0" destOrd="0" presId="urn:microsoft.com/office/officeart/2005/8/layout/hierarchy4"/>
    <dgm:cxn modelId="{7D6A63BF-D0E9-4467-9C60-315DEABFEFB6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60950B0A-B9C6-425D-A9FD-B16F86A965D3}" type="presParOf" srcId="{BA98E764-3434-43BA-BFB8-5AABFBD3401A}" destId="{EF92A37C-1983-491C-A3FB-6D5489A76ABB}" srcOrd="0" destOrd="0" presId="urn:microsoft.com/office/officeart/2005/8/layout/hierarchy4"/>
    <dgm:cxn modelId="{00702386-825F-48BF-B5E0-ABE5C5E969A3}" type="presParOf" srcId="{EF92A37C-1983-491C-A3FB-6D5489A76ABB}" destId="{CE175DE0-1BD8-4EA5-A43A-AD782B5EBC7B}" srcOrd="0" destOrd="0" presId="urn:microsoft.com/office/officeart/2005/8/layout/hierarchy4"/>
    <dgm:cxn modelId="{F6494B72-5C51-4C5C-945B-00F22001CBC8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542BA527-592E-42D2-8006-CE6F04C0D6E9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E3898016-45C0-4A8F-B480-C6A68F253DC9}" type="presOf" srcId="{5670A6BC-B09F-4616-ACD7-48582484E132}" destId="{BA98E764-3434-43BA-BFB8-5AABFBD3401A}" srcOrd="0" destOrd="0" presId="urn:microsoft.com/office/officeart/2005/8/layout/hierarchy4"/>
    <dgm:cxn modelId="{38D2F58A-BFBE-4A00-92C1-E1B0950E29D4}" type="presParOf" srcId="{BA98E764-3434-43BA-BFB8-5AABFBD3401A}" destId="{EF92A37C-1983-491C-A3FB-6D5489A76ABB}" srcOrd="0" destOrd="0" presId="urn:microsoft.com/office/officeart/2005/8/layout/hierarchy4"/>
    <dgm:cxn modelId="{57C18F65-CEA7-4C30-8248-E8B4D1AECC1B}" type="presParOf" srcId="{EF92A37C-1983-491C-A3FB-6D5489A76ABB}" destId="{CE175DE0-1BD8-4EA5-A43A-AD782B5EBC7B}" srcOrd="0" destOrd="0" presId="urn:microsoft.com/office/officeart/2005/8/layout/hierarchy4"/>
    <dgm:cxn modelId="{D2DE00DE-C183-4340-899C-619D84F0C472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B787C7F7-83F2-4703-A30F-CF6BA999AE12}" type="presOf" srcId="{5670A6BC-B09F-4616-ACD7-48582484E132}" destId="{BA98E764-3434-43BA-BFB8-5AABFBD3401A}" srcOrd="0" destOrd="0" presId="urn:microsoft.com/office/officeart/2005/8/layout/hierarchy4"/>
    <dgm:cxn modelId="{D7BBF203-1DF7-4C4C-8ECA-E6CD9E4720C6}" type="presOf" srcId="{CFE8EB02-92D8-49A6-87E6-130764881194}" destId="{CE175DE0-1BD8-4EA5-A43A-AD782B5EBC7B}" srcOrd="0" destOrd="0" presId="urn:microsoft.com/office/officeart/2005/8/layout/hierarchy4"/>
    <dgm:cxn modelId="{A75F3709-B1F0-4529-9ABD-8FEA81D62CD1}" type="presParOf" srcId="{BA98E764-3434-43BA-BFB8-5AABFBD3401A}" destId="{EF92A37C-1983-491C-A3FB-6D5489A76ABB}" srcOrd="0" destOrd="0" presId="urn:microsoft.com/office/officeart/2005/8/layout/hierarchy4"/>
    <dgm:cxn modelId="{E23C9C40-9EA4-43E5-A5C7-3E56C4CF35FB}" type="presParOf" srcId="{EF92A37C-1983-491C-A3FB-6D5489A76ABB}" destId="{CE175DE0-1BD8-4EA5-A43A-AD782B5EBC7B}" srcOrd="0" destOrd="0" presId="urn:microsoft.com/office/officeart/2005/8/layout/hierarchy4"/>
    <dgm:cxn modelId="{22427BBD-BAB0-4DF8-BDF4-A7651DEC3A86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7E36C6DC-8024-4C4B-8AE0-8D80B07C8033}" type="presOf" srcId="{CFE8EB02-92D8-49A6-87E6-130764881194}" destId="{CE175DE0-1BD8-4EA5-A43A-AD782B5EBC7B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E7E8E9FE-5E12-4994-A683-97A06364D335}" type="presOf" srcId="{5670A6BC-B09F-4616-ACD7-48582484E132}" destId="{BA98E764-3434-43BA-BFB8-5AABFBD3401A}" srcOrd="0" destOrd="0" presId="urn:microsoft.com/office/officeart/2005/8/layout/hierarchy4"/>
    <dgm:cxn modelId="{99BC719D-238A-4278-A164-5B93DABC210D}" type="presParOf" srcId="{BA98E764-3434-43BA-BFB8-5AABFBD3401A}" destId="{EF92A37C-1983-491C-A3FB-6D5489A76ABB}" srcOrd="0" destOrd="0" presId="urn:microsoft.com/office/officeart/2005/8/layout/hierarchy4"/>
    <dgm:cxn modelId="{E9A55BAF-CC9E-45BB-B038-026D3AE914DC}" type="presParOf" srcId="{EF92A37C-1983-491C-A3FB-6D5489A76ABB}" destId="{CE175DE0-1BD8-4EA5-A43A-AD782B5EBC7B}" srcOrd="0" destOrd="0" presId="urn:microsoft.com/office/officeart/2005/8/layout/hierarchy4"/>
    <dgm:cxn modelId="{3485BBD1-602C-44CE-B7C7-6D77EF953812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7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2657D357-7AD8-415E-B10B-1DA51F45FEF4}" type="presOf" srcId="{CFE8EB02-92D8-49A6-87E6-130764881194}" destId="{CE175DE0-1BD8-4EA5-A43A-AD782B5EBC7B}" srcOrd="0" destOrd="0" presId="urn:microsoft.com/office/officeart/2005/8/layout/hierarchy4"/>
    <dgm:cxn modelId="{EB9514C2-433E-4ACB-9C93-F13A53F4C434}" type="presOf" srcId="{5670A6BC-B09F-4616-ACD7-48582484E132}" destId="{BA98E764-3434-43BA-BFB8-5AABFBD3401A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638C44AF-9CBF-4CC0-B52F-D3AD31934DE5}" type="presParOf" srcId="{BA98E764-3434-43BA-BFB8-5AABFBD3401A}" destId="{EF92A37C-1983-491C-A3FB-6D5489A76ABB}" srcOrd="0" destOrd="0" presId="urn:microsoft.com/office/officeart/2005/8/layout/hierarchy4"/>
    <dgm:cxn modelId="{28F73430-0989-4FA4-A96E-63CC425F1A96}" type="presParOf" srcId="{EF92A37C-1983-491C-A3FB-6D5489A76ABB}" destId="{CE175DE0-1BD8-4EA5-A43A-AD782B5EBC7B}" srcOrd="0" destOrd="0" presId="urn:microsoft.com/office/officeart/2005/8/layout/hierarchy4"/>
    <dgm:cxn modelId="{8AAB30CD-0F17-483F-A307-2CB46A59D320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4D6A6D3D-1DEC-48B7-8B6F-95884EAE59B4}" type="presOf" srcId="{5670A6BC-B09F-4616-ACD7-48582484E132}" destId="{BA98E764-3434-43BA-BFB8-5AABFBD3401A}" srcOrd="0" destOrd="0" presId="urn:microsoft.com/office/officeart/2005/8/layout/hierarchy4"/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A1AC725C-9652-436F-B4A1-399E869413AE}" type="presOf" srcId="{CFE8EB02-92D8-49A6-87E6-130764881194}" destId="{CE175DE0-1BD8-4EA5-A43A-AD782B5EBC7B}" srcOrd="0" destOrd="0" presId="urn:microsoft.com/office/officeart/2005/8/layout/hierarchy4"/>
    <dgm:cxn modelId="{FB13DEB6-DF37-4C41-A83C-78A96EA1DA8E}" type="presParOf" srcId="{BA98E764-3434-43BA-BFB8-5AABFBD3401A}" destId="{EF92A37C-1983-491C-A3FB-6D5489A76ABB}" srcOrd="0" destOrd="0" presId="urn:microsoft.com/office/officeart/2005/8/layout/hierarchy4"/>
    <dgm:cxn modelId="{F17D7539-BE22-4558-A3EA-7385C24A4729}" type="presParOf" srcId="{EF92A37C-1983-491C-A3FB-6D5489A76ABB}" destId="{CE175DE0-1BD8-4EA5-A43A-AD782B5EBC7B}" srcOrd="0" destOrd="0" presId="urn:microsoft.com/office/officeart/2005/8/layout/hierarchy4"/>
    <dgm:cxn modelId="{39764620-A4A0-47AC-AB79-D3D4D962148B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9.xml><?xml version="1.0" encoding="utf-8"?>
<dgm:dataModel xmlns:dgm="http://schemas.openxmlformats.org/drawingml/2006/diagram" xmlns:a="http://schemas.openxmlformats.org/drawingml/2006/main">
  <dgm:ptLst>
    <dgm:pt modelId="{5670A6BC-B09F-4616-ACD7-48582484E132}" type="doc">
      <dgm:prSet loTypeId="urn:microsoft.com/office/officeart/2005/8/layout/hierarchy4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pt-PT"/>
        </a:p>
      </dgm:t>
    </dgm:pt>
    <dgm:pt modelId="{CFE8EB02-92D8-49A6-87E6-130764881194}">
      <dgm:prSet phldrT="[Texto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pt-PT" sz="1600" b="1"/>
            <a:t>Voltar ao Topo</a:t>
          </a:r>
        </a:p>
      </dgm:t>
    </dgm:pt>
    <dgm:pt modelId="{6CB45466-5C2F-4F18-BBD0-6D34A4F32EF5}" type="parTrans" cxnId="{C65F2CCA-416A-46A2-9149-2007511159CA}">
      <dgm:prSet/>
      <dgm:spPr/>
      <dgm:t>
        <a:bodyPr/>
        <a:lstStyle/>
        <a:p>
          <a:endParaRPr lang="pt-PT"/>
        </a:p>
      </dgm:t>
    </dgm:pt>
    <dgm:pt modelId="{F3117A48-A665-4D1A-98C6-E9644FF54901}" type="sibTrans" cxnId="{C65F2CCA-416A-46A2-9149-2007511159CA}">
      <dgm:prSet/>
      <dgm:spPr/>
      <dgm:t>
        <a:bodyPr/>
        <a:lstStyle/>
        <a:p>
          <a:endParaRPr lang="pt-PT"/>
        </a:p>
      </dgm:t>
    </dgm:pt>
    <dgm:pt modelId="{BA98E764-3434-43BA-BFB8-5AABFBD3401A}" type="pres">
      <dgm:prSet presAssocID="{5670A6BC-B09F-4616-ACD7-48582484E132}" presName="Name0" presStyleCnt="0">
        <dgm:presLayoutVars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PT"/>
        </a:p>
      </dgm:t>
    </dgm:pt>
    <dgm:pt modelId="{EF92A37C-1983-491C-A3FB-6D5489A76ABB}" type="pres">
      <dgm:prSet presAssocID="{CFE8EB02-92D8-49A6-87E6-130764881194}" presName="vertOne" presStyleCnt="0"/>
      <dgm:spPr/>
    </dgm:pt>
    <dgm:pt modelId="{CE175DE0-1BD8-4EA5-A43A-AD782B5EBC7B}" type="pres">
      <dgm:prSet presAssocID="{CFE8EB02-92D8-49A6-87E6-130764881194}" presName="txOne" presStyleLbl="node0" presStyleIdx="0" presStyleCnt="1" custLinFactY="250000" custLinFactNeighborX="-15625" custLinFactNeighborY="300000">
        <dgm:presLayoutVars>
          <dgm:chPref val="3"/>
        </dgm:presLayoutVars>
      </dgm:prSet>
      <dgm:spPr/>
      <dgm:t>
        <a:bodyPr/>
        <a:lstStyle/>
        <a:p>
          <a:endParaRPr lang="pt-PT"/>
        </a:p>
      </dgm:t>
    </dgm:pt>
    <dgm:pt modelId="{91C5E9F1-BDB5-41FE-B863-F780AA447A16}" type="pres">
      <dgm:prSet presAssocID="{CFE8EB02-92D8-49A6-87E6-130764881194}" presName="horzOne" presStyleCnt="0"/>
      <dgm:spPr/>
    </dgm:pt>
  </dgm:ptLst>
  <dgm:cxnLst>
    <dgm:cxn modelId="{C65F2CCA-416A-46A2-9149-2007511159CA}" srcId="{5670A6BC-B09F-4616-ACD7-48582484E132}" destId="{CFE8EB02-92D8-49A6-87E6-130764881194}" srcOrd="0" destOrd="0" parTransId="{6CB45466-5C2F-4F18-BBD0-6D34A4F32EF5}" sibTransId="{F3117A48-A665-4D1A-98C6-E9644FF54901}"/>
    <dgm:cxn modelId="{C77C9BB8-548B-416D-83BB-DEB13FD7BEF8}" type="presOf" srcId="{5670A6BC-B09F-4616-ACD7-48582484E132}" destId="{BA98E764-3434-43BA-BFB8-5AABFBD3401A}" srcOrd="0" destOrd="0" presId="urn:microsoft.com/office/officeart/2005/8/layout/hierarchy4"/>
    <dgm:cxn modelId="{8E08B4EA-4EE3-4DD0-B137-FB9D33F5F5F4}" type="presOf" srcId="{CFE8EB02-92D8-49A6-87E6-130764881194}" destId="{CE175DE0-1BD8-4EA5-A43A-AD782B5EBC7B}" srcOrd="0" destOrd="0" presId="urn:microsoft.com/office/officeart/2005/8/layout/hierarchy4"/>
    <dgm:cxn modelId="{3438CE93-F913-49ED-94D4-CED3821B5037}" type="presParOf" srcId="{BA98E764-3434-43BA-BFB8-5AABFBD3401A}" destId="{EF92A37C-1983-491C-A3FB-6D5489A76ABB}" srcOrd="0" destOrd="0" presId="urn:microsoft.com/office/officeart/2005/8/layout/hierarchy4"/>
    <dgm:cxn modelId="{4700D1AC-DA25-44CA-8FE7-4091F895C883}" type="presParOf" srcId="{EF92A37C-1983-491C-A3FB-6D5489A76ABB}" destId="{CE175DE0-1BD8-4EA5-A43A-AD782B5EBC7B}" srcOrd="0" destOrd="0" presId="urn:microsoft.com/office/officeart/2005/8/layout/hierarchy4"/>
    <dgm:cxn modelId="{86121550-FD21-4FAE-8D18-F39E5DD68EAB}" type="presParOf" srcId="{EF92A37C-1983-491C-A3FB-6D5489A76ABB}" destId="{91C5E9F1-BDB5-41FE-B863-F780AA447A16}" srcOrd="1" destOrd="0" presId="urn:microsoft.com/office/officeart/2005/8/layout/hierarchy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E175DE0-1BD8-4EA5-A43A-AD782B5EBC7B}">
      <dsp:nvSpPr>
        <dsp:cNvPr id="0" name=""/>
        <dsp:cNvSpPr/>
      </dsp:nvSpPr>
      <dsp:spPr>
        <a:xfrm>
          <a:off x="0" y="0"/>
          <a:ext cx="1646215" cy="342900"/>
        </a:xfrm>
        <a:prstGeom prst="roundRect">
          <a:avLst>
            <a:gd name="adj" fmla="val 10000"/>
          </a:avLst>
        </a:prstGeom>
        <a:solidFill>
          <a:schemeClr val="accent6">
            <a:lumMod val="7500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1600" b="1" kern="1200"/>
            <a:t>Voltar ao Topo</a:t>
          </a:r>
        </a:p>
      </dsp:txBody>
      <dsp:txXfrm>
        <a:off x="10043" y="10043"/>
        <a:ext cx="1626129" cy="322814"/>
      </dsp:txXfrm>
    </dsp:sp>
  </dsp:spTree>
</dsp:drawing>
</file>

<file path=xl/diagrams/drawing10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1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1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1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9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10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11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12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13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layout9.xml><?xml version="1.0" encoding="utf-8"?>
<dgm:layoutDef xmlns:dgm="http://schemas.openxmlformats.org/drawingml/2006/diagram" xmlns:a="http://schemas.openxmlformats.org/drawingml/2006/main" uniqueId="urn:microsoft.com/office/officeart/2005/8/layout/hierarchy4">
  <dgm:title val=""/>
  <dgm:desc val=""/>
  <dgm:catLst>
    <dgm:cat type="hierarchy" pri="4000"/>
    <dgm:cat type="list" pri="24000"/>
    <dgm:cat type="relationship" pri="10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/>
    </dgm:varLst>
    <dgm:choose name="Name1">
      <dgm:if name="Name2" func="var" arg="dir" op="equ" val="norm">
        <dgm:alg type="lin">
          <dgm:param type="linDir" val="fromL"/>
          <dgm:param type="nodeVertAlign" val="t"/>
        </dgm:alg>
      </dgm:if>
      <dgm:else name="Name3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vertOne" refType="w"/>
      <dgm:constr type="w" for="des" forName="horzOne" refType="w"/>
      <dgm:constr type="w" for="des" forName="txOne" refType="w"/>
      <dgm:constr type="w" for="des" forName="vertTwo" refType="w"/>
      <dgm:constr type="w" for="des" forName="horzTwo" refType="w"/>
      <dgm:constr type="w" for="des" forName="txTwo" refType="w"/>
      <dgm:constr type="w" for="des" forName="vertThree" refType="w"/>
      <dgm:constr type="w" for="des" forName="horzThree" refType="w"/>
      <dgm:constr type="w" for="des" forName="txThree" refType="w"/>
      <dgm:constr type="w" for="des" forName="vertFour" refType="w"/>
      <dgm:constr type="w" for="des" forName="horzFour" refType="w"/>
      <dgm:constr type="w" for="des" forName="txFour" refType="w"/>
      <dgm:constr type="h" for="des" ptType="node" op="equ"/>
      <dgm:constr type="h" for="des" forName="txOne" refType="h"/>
      <dgm:constr type="userH" for="des" ptType="node" refType="h" refFor="des" refForName="txOne"/>
      <dgm:constr type="primFontSz" for="des" forName="txOne" val="65"/>
      <dgm:constr type="primFontSz" for="des" forName="txTwo" val="65"/>
      <dgm:constr type="primFontSz" for="des" forName="txTwo" refType="primFontSz" refFor="des" refForName="txOne" op="lte"/>
      <dgm:constr type="primFontSz" for="des" forName="txThree" val="65"/>
      <dgm:constr type="primFontSz" for="des" forName="txThree" refType="primFontSz" refFor="des" refForName="txOne" op="lte"/>
      <dgm:constr type="primFontSz" for="des" forName="txThree" refType="primFontSz" refFor="des" refForName="txTwo" op="lte"/>
      <dgm:constr type="primFontSz" for="des" forName="txFour" val="65"/>
      <dgm:constr type="primFontSz" for="des" forName="txFour" refType="primFontSz" refFor="des" refForName="txOne" op="lte"/>
      <dgm:constr type="primFontSz" for="des" forName="txFour" refType="primFontSz" refFor="des" refForName="txTwo" op="lte"/>
      <dgm:constr type="primFontSz" for="des" forName="txFour" refType="primFontSz" refFor="des" refForName="txThree" op="lte"/>
      <dgm:constr type="w" for="des" forName="sibSpaceOne" refType="w" fact="0.168"/>
      <dgm:constr type="w" for="des" forName="sibSpaceTwo" refType="w" refFor="des" refForName="sibSpaceOne" op="equ" fact="0.5"/>
      <dgm:constr type="w" for="des" forName="sibSpaceThree" refType="w" refFor="des" refForName="sibSpaceTwo" op="equ" fact="0.5"/>
      <dgm:constr type="w" for="des" forName="sibSpaceFour" refType="w" refFor="des" refForName="sibSpaceThree" op="equ" fact="0.5"/>
      <dgm:constr type="h" for="des" forName="parTransOne" refType="w" fact="0.056"/>
      <dgm:constr type="h" for="des" forName="parTransTwo" refType="h" refFor="des" refForName="parTransOne" op="equ"/>
      <dgm:constr type="h" for="des" forName="parTransThree" refType="h" refFor="des" refForName="parTransTwo" op="equ"/>
      <dgm:constr type="h" for="des" forName="parTransFour" refType="h" refFor="des" refForName="parTransThree" op="equ"/>
    </dgm:constrLst>
    <dgm:ruleLst/>
    <dgm:forEach name="Name4" axis="ch" ptType="node">
      <dgm:layoutNode name="vertOne">
        <dgm:alg type="lin">
          <dgm:param type="linDir" val="fromT"/>
        </dgm:alg>
        <dgm:shape xmlns:r="http://schemas.openxmlformats.org/officeDocument/2006/relationships" r:blip="">
          <dgm:adjLst/>
        </dgm:shape>
        <dgm:presOf/>
        <dgm:constrLst>
          <dgm:constr type="w" for="ch" forName="txOne" refType="w" refFor="ch" refForName="horzOne" op="gte"/>
        </dgm:constrLst>
        <dgm:ruleLst/>
        <dgm:layoutNode name="txOne" styleLbl="node0">
          <dgm:varLst>
            <dgm:chPref val="3"/>
          </dgm:varLst>
          <dgm:alg type="tx"/>
          <dgm:shape xmlns:r="http://schemas.openxmlformats.org/officeDocument/2006/relationships" type="roundRect" r:blip="">
            <dgm:adjLst>
              <dgm:adj idx="1" val="0.1"/>
            </dgm:adjLst>
          </dgm:shape>
          <dgm:presOf axis="self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5">
          <dgm:if name="Name6" axis="des" ptType="node" func="cnt" op="gt" val="0">
            <dgm:layoutNode name="parTrans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if>
          <dgm:else name="Name7"/>
        </dgm:choose>
        <dgm:layoutNode name="horzOne">
          <dgm:choose name="Name8">
            <dgm:if name="Name9" func="var" arg="dir" op="equ" val="norm">
              <dgm:alg type="lin">
                <dgm:param type="linDir" val="fromL"/>
                <dgm:param type="nodeVertAlign" val="t"/>
              </dgm:alg>
            </dgm:if>
            <dgm:else name="Name10">
              <dgm:alg type="lin">
                <dgm:param type="linDir" val="fromR"/>
                <dgm:param type="nodeVertAlign" val="t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>
            <dgm:rule type="w" val="INF" fact="NaN" max="NaN"/>
          </dgm:ruleLst>
          <dgm:forEach name="Name11" axis="ch" ptType="node">
            <dgm:layoutNode name="vertTwo">
              <dgm:alg type="lin">
                <dgm:param type="linDir" val="fromT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xTwo" refType="w" refFor="ch" refForName="horzTwo" op="gte"/>
              </dgm:constrLst>
              <dgm:ruleLst/>
              <dgm:layoutNode name="txTwo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userH"/>
                  <dgm:constr type="h" refType="userH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choose name="Name12">
                <dgm:if name="Name13" axis="des" ptType="node" func="cnt" op="gt" val="0">
                  <dgm:layoutNode name="parTrans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if>
                <dgm:else name="Name14"/>
              </dgm:choose>
              <dgm:layoutNode name="horzTwo">
                <dgm:choose name="Name15">
                  <dgm:if name="Name16" func="var" arg="dir" op="equ" val="norm">
                    <dgm:alg type="lin">
                      <dgm:param type="linDir" val="fromL"/>
                      <dgm:param type="nodeVertAlign" val="t"/>
                    </dgm:alg>
                  </dgm:if>
                  <dgm:else name="Name17">
                    <dgm:alg type="lin">
                      <dgm:param type="linDir" val="fromR"/>
                      <dgm:param type="nodeVertAlign" val="t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>
                  <dgm:rule type="w" val="INF" fact="NaN" max="NaN"/>
                </dgm:ruleLst>
                <dgm:forEach name="Name18" axis="ch" ptType="node">
                  <dgm:layoutNode name="vertThree">
                    <dgm:alg type="lin">
                      <dgm:param type="linDir" val="fromT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txThree" refType="w" refFor="ch" refForName="horzThree" op="gte"/>
                    </dgm:constrLst>
                    <dgm:ruleLst/>
                    <dgm:layoutNode name="txThree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userH"/>
                        <dgm:constr type="h" refType="userH"/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  <dgm:choose name="Name19">
                      <dgm:if name="Name20" axis="des" ptType="node" func="cnt" op="gt" val="0">
                        <dgm:layoutNode name="parTrans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if>
                      <dgm:else name="Name21"/>
                    </dgm:choose>
                    <dgm:layoutNode name="horzThree">
                      <dgm:choose name="Name22">
                        <dgm:if name="Name23" func="var" arg="dir" op="equ" val="norm">
                          <dgm:alg type="lin">
                            <dgm:param type="linDir" val="fromL"/>
                            <dgm:param type="nodeVertAlign" val="t"/>
                          </dgm:alg>
                        </dgm:if>
                        <dgm:else name="Name24">
                          <dgm:alg type="lin">
                            <dgm:param type="linDir" val="fromR"/>
                            <dgm:param type="nodeVertAlign" val="t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>
                        <dgm:rule type="w" val="INF" fact="NaN" max="NaN"/>
                      </dgm:ruleLst>
                      <dgm:forEach name="repeat" axis="ch" ptType="node">
                        <dgm:layoutNode name="vertFour">
                          <dgm:varLst>
                            <dgm:chPref val="3"/>
                          </dgm:varLst>
                          <dgm:alg type="lin">
                            <dgm:param type="linDir" val="fromT"/>
                          </dgm:alg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w" for="ch" forName="txFour" refType="w" refFor="ch" refForName="horzFour" op="gte"/>
                          </dgm:constrLst>
                          <dgm:ruleLst/>
                          <dgm:layoutNode name="txFour">
                            <dgm:varLst>
                              <dgm:chPref val="3"/>
                            </dgm:varLst>
                            <dgm:alg type="tx"/>
                            <dgm:shape xmlns:r="http://schemas.openxmlformats.org/officeDocument/2006/relationships" type="roundRect" r:blip="">
                              <dgm:adjLst>
                                <dgm:adj idx="1" val="0.1"/>
                              </dgm:adjLst>
                            </dgm:shape>
                            <dgm:presOf axis="self"/>
                            <dgm:constrLst>
                              <dgm:constr type="userH"/>
                              <dgm:constr type="h" refType="userH"/>
                              <dgm:constr type="tMarg" refType="primFontSz" fact="0.3"/>
                              <dgm:constr type="bMarg" refType="primFontSz" fact="0.3"/>
                              <dgm:constr type="lMarg" refType="primFontSz" fact="0.3"/>
                              <dgm:constr type="rMarg" refType="primFontSz" fact="0.3"/>
                            </dgm:constrLst>
                            <dgm:ruleLst>
                              <dgm:rule type="primFontSz" val="5" fact="NaN" max="NaN"/>
                            </dgm:ruleLst>
                          </dgm:layoutNode>
                          <dgm:choose name="Name25">
                            <dgm:if name="Name26" axis="des" ptType="node" func="cnt" op="gt" val="0">
                              <dgm:layoutNode name="parTrans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if>
                            <dgm:else name="Name27"/>
                          </dgm:choose>
                          <dgm:layoutNode name="horzFour">
                            <dgm:choose name="Name28">
                              <dgm:if name="Name29" func="var" arg="dir" op="equ" val="norm">
                                <dgm:alg type="lin">
                                  <dgm:param type="linDir" val="fromL"/>
                                  <dgm:param type="nodeVertAlign" val="t"/>
                                </dgm:alg>
                              </dgm:if>
                              <dgm:else name="Name30">
                                <dgm:alg type="lin">
                                  <dgm:param type="linDir" val="fromR"/>
                                  <dgm:param type="nodeVertAlign" val="t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>
                              <dgm:rule type="w" val="INF" fact="NaN" max="NaN"/>
                            </dgm:ruleLst>
                            <dgm:forEach name="Name31" ref="repeat"/>
                          </dgm:layoutNode>
                        </dgm:layoutNode>
                        <dgm:choose name="Name32">
                          <dgm:if name="Name33" axis="self" ptType="node" func="revPos" op="gte" val="2">
                            <dgm:forEach name="Name34" axis="followSib" ptType="sibTrans" cnt="1">
                              <dgm:layoutNode name="sibSpaceFour">
                                <dgm:alg type="sp"/>
                                <dgm:shape xmlns:r="http://schemas.openxmlformats.org/officeDocument/2006/relationships" r:blip="">
                                  <dgm:adjLst/>
                                </dgm:shape>
                                <dgm:presOf/>
                                <dgm:constrLst/>
                                <dgm:ruleLst/>
                              </dgm:layoutNode>
                            </dgm:forEach>
                          </dgm:if>
                          <dgm:else name="Name35"/>
                        </dgm:choose>
                      </dgm:forEach>
                    </dgm:layoutNode>
                  </dgm:layoutNode>
                  <dgm:choose name="Name36">
                    <dgm:if name="Name37" axis="self" ptType="node" func="revPos" op="gte" val="2">
                      <dgm:forEach name="Name38" axis="followSib" ptType="sibTrans" cnt="1">
                        <dgm:layoutNode name="sibSpaceThree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/>
                          <dgm:ruleLst/>
                        </dgm:layoutNode>
                      </dgm:forEach>
                    </dgm:if>
                    <dgm:else name="Name39"/>
                  </dgm:choose>
                </dgm:forEach>
              </dgm:layoutNode>
            </dgm:layoutNode>
            <dgm:choose name="Name40">
              <dgm:if name="Name41" axis="self" ptType="node" func="revPos" op="gte" val="2">
                <dgm:forEach name="Name42" axis="followSib" ptType="sibTrans" cnt="1">
                  <dgm:layoutNode name="sibSpaceTwo">
                    <dgm:alg type="sp"/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</dgm:layoutNode>
                </dgm:forEach>
              </dgm:if>
              <dgm:else name="Name43"/>
            </dgm:choose>
          </dgm:forEach>
        </dgm:layoutNode>
      </dgm:layoutNode>
      <dgm:choose name="Name44">
        <dgm:if name="Name45" axis="self" ptType="node" func="revPos" op="gte" val="2">
          <dgm:forEach name="Name46" axis="followSib" ptType="sibTrans" cnt="1">
            <dgm:layoutNode name="sibSpaceOn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if>
        <dgm:else name="Name4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0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1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9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9.xml"/><Relationship Id="rId2" Type="http://schemas.openxmlformats.org/officeDocument/2006/relationships/diagramData" Target="../diagrams/data9.xml"/><Relationship Id="rId1" Type="http://schemas.openxmlformats.org/officeDocument/2006/relationships/hyperlink" Target="#'Mod.Rend.2011 Optic.Enti. MCAPM'!A1"/><Relationship Id="rId6" Type="http://schemas.microsoft.com/office/2007/relationships/diagramDrawing" Target="../diagrams/drawing9.xml"/><Relationship Id="rId5" Type="http://schemas.openxmlformats.org/officeDocument/2006/relationships/diagramColors" Target="../diagrams/colors9.xml"/><Relationship Id="rId4" Type="http://schemas.openxmlformats.org/officeDocument/2006/relationships/diagramQuickStyle" Target="../diagrams/quickStyle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0.xml"/><Relationship Id="rId2" Type="http://schemas.openxmlformats.org/officeDocument/2006/relationships/diagramData" Target="../diagrams/data10.xml"/><Relationship Id="rId1" Type="http://schemas.openxmlformats.org/officeDocument/2006/relationships/hyperlink" Target="#'Mod.Rendimento 2010 opt invest.'!A1"/><Relationship Id="rId6" Type="http://schemas.microsoft.com/office/2007/relationships/diagramDrawing" Target="../diagrams/drawing10.xml"/><Relationship Id="rId5" Type="http://schemas.openxmlformats.org/officeDocument/2006/relationships/diagramColors" Target="../diagrams/colors10.xml"/><Relationship Id="rId4" Type="http://schemas.openxmlformats.org/officeDocument/2006/relationships/diagramQuickStyle" Target="../diagrams/quickStyle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1.xml"/><Relationship Id="rId2" Type="http://schemas.openxmlformats.org/officeDocument/2006/relationships/diagramData" Target="../diagrams/data11.xml"/><Relationship Id="rId1" Type="http://schemas.openxmlformats.org/officeDocument/2006/relationships/hyperlink" Target="#'Mod.Rend.2010 Optic.Ent.Buil-UP'!A1"/><Relationship Id="rId6" Type="http://schemas.microsoft.com/office/2007/relationships/diagramDrawing" Target="../diagrams/drawing11.xml"/><Relationship Id="rId5" Type="http://schemas.openxmlformats.org/officeDocument/2006/relationships/diagramColors" Target="../diagrams/colors11.xml"/><Relationship Id="rId4" Type="http://schemas.openxmlformats.org/officeDocument/2006/relationships/diagramQuickStyle" Target="../diagrams/quickStyle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2.xml"/><Relationship Id="rId2" Type="http://schemas.openxmlformats.org/officeDocument/2006/relationships/diagramData" Target="../diagrams/data12.xml"/><Relationship Id="rId1" Type="http://schemas.openxmlformats.org/officeDocument/2006/relationships/hyperlink" Target="#'Mod.Rend.2010. Optic.Ent.MCAPM'!A1"/><Relationship Id="rId6" Type="http://schemas.microsoft.com/office/2007/relationships/diagramDrawing" Target="../diagrams/drawing12.xml"/><Relationship Id="rId5" Type="http://schemas.openxmlformats.org/officeDocument/2006/relationships/diagramColors" Target="../diagrams/colors12.xml"/><Relationship Id="rId4" Type="http://schemas.openxmlformats.org/officeDocument/2006/relationships/diagramQuickStyle" Target="../diagrams/quickStyle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3.xml"/><Relationship Id="rId2" Type="http://schemas.openxmlformats.org/officeDocument/2006/relationships/diagramData" Target="../diagrams/data13.xml"/><Relationship Id="rId1" Type="http://schemas.openxmlformats.org/officeDocument/2006/relationships/hyperlink" Target="#'Quadros Resumo 2011-2010'!A1"/><Relationship Id="rId6" Type="http://schemas.microsoft.com/office/2007/relationships/diagramDrawing" Target="../diagrams/drawing13.xml"/><Relationship Id="rId5" Type="http://schemas.openxmlformats.org/officeDocument/2006/relationships/diagramColors" Target="../diagrams/colors13.xml"/><Relationship Id="rId4" Type="http://schemas.openxmlformats.org/officeDocument/2006/relationships/diagramQuickStyle" Target="../diagrams/quickStyle1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hyperlink" Target="#'Demonstra&#231;&#227;o Resultados'!A1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2.xml"/><Relationship Id="rId2" Type="http://schemas.openxmlformats.org/officeDocument/2006/relationships/diagramData" Target="../diagrams/data2.xml"/><Relationship Id="rId1" Type="http://schemas.openxmlformats.org/officeDocument/2006/relationships/hyperlink" Target="#Balan&#231;o!A1"/><Relationship Id="rId6" Type="http://schemas.microsoft.com/office/2007/relationships/diagramDrawing" Target="../diagrams/drawing2.xml"/><Relationship Id="rId5" Type="http://schemas.openxmlformats.org/officeDocument/2006/relationships/diagramColors" Target="../diagrams/colors2.xml"/><Relationship Id="rId4" Type="http://schemas.openxmlformats.org/officeDocument/2006/relationships/diagramQuickStyle" Target="../diagrams/quickStyle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3.xml"/><Relationship Id="rId2" Type="http://schemas.openxmlformats.org/officeDocument/2006/relationships/diagramData" Target="../diagrams/data3.xml"/><Relationship Id="rId1" Type="http://schemas.openxmlformats.org/officeDocument/2006/relationships/hyperlink" Target="#'Modelo Patrim&#243;nio 2011'!A1"/><Relationship Id="rId6" Type="http://schemas.microsoft.com/office/2007/relationships/diagramDrawing" Target="../diagrams/drawing3.xml"/><Relationship Id="rId5" Type="http://schemas.openxmlformats.org/officeDocument/2006/relationships/diagramColors" Target="../diagrams/colors3.xml"/><Relationship Id="rId4" Type="http://schemas.openxmlformats.org/officeDocument/2006/relationships/diagramQuickStyle" Target="../diagrams/quickStyle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4.xml"/><Relationship Id="rId2" Type="http://schemas.openxmlformats.org/officeDocument/2006/relationships/diagramData" Target="../diagrams/data4.xml"/><Relationship Id="rId1" Type="http://schemas.openxmlformats.org/officeDocument/2006/relationships/hyperlink" Target="#'Modelo Patrim&#243;nio 2010'!A1"/><Relationship Id="rId6" Type="http://schemas.microsoft.com/office/2007/relationships/diagramDrawing" Target="../diagrams/drawing4.xml"/><Relationship Id="rId5" Type="http://schemas.openxmlformats.org/officeDocument/2006/relationships/diagramColors" Target="../diagrams/colors4.xml"/><Relationship Id="rId4" Type="http://schemas.openxmlformats.org/officeDocument/2006/relationships/diagramQuickStyle" Target="../diagrams/quickStyle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5.xml"/><Relationship Id="rId2" Type="http://schemas.openxmlformats.org/officeDocument/2006/relationships/diagramData" Target="../diagrams/data5.xml"/><Relationship Id="rId1" Type="http://schemas.openxmlformats.org/officeDocument/2006/relationships/hyperlink" Target="#'Varia&#231;&#227;o Mod.Patrim.2011 e2010 '!A1"/><Relationship Id="rId6" Type="http://schemas.microsoft.com/office/2007/relationships/diagramDrawing" Target="../diagrams/drawing5.xml"/><Relationship Id="rId5" Type="http://schemas.openxmlformats.org/officeDocument/2006/relationships/diagramColors" Target="../diagrams/colors5.xml"/><Relationship Id="rId4" Type="http://schemas.openxmlformats.org/officeDocument/2006/relationships/diagramQuickStyle" Target="../diagrams/quickStyle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Data" Target="../diagrams/data6.xml"/><Relationship Id="rId7" Type="http://schemas.microsoft.com/office/2007/relationships/diagramDrawing" Target="../diagrams/drawing6.xml"/><Relationship Id="rId2" Type="http://schemas.openxmlformats.org/officeDocument/2006/relationships/hyperlink" Target="#'Atualiza&#231;ao Cash flows'!A1"/><Relationship Id="rId1" Type="http://schemas.openxmlformats.org/officeDocument/2006/relationships/chart" Target="../charts/chart1.xml"/><Relationship Id="rId6" Type="http://schemas.openxmlformats.org/officeDocument/2006/relationships/diagramColors" Target="../diagrams/colors6.xml"/><Relationship Id="rId5" Type="http://schemas.openxmlformats.org/officeDocument/2006/relationships/diagramQuickStyle" Target="../diagrams/quickStyle6.xml"/><Relationship Id="rId4" Type="http://schemas.openxmlformats.org/officeDocument/2006/relationships/diagramLayout" Target="../diagrams/layou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7.xml"/><Relationship Id="rId2" Type="http://schemas.openxmlformats.org/officeDocument/2006/relationships/diagramData" Target="../diagrams/data7.xml"/><Relationship Id="rId1" Type="http://schemas.openxmlformats.org/officeDocument/2006/relationships/hyperlink" Target="#'Mod. Rendimento 2011 opt invest'!A1"/><Relationship Id="rId6" Type="http://schemas.microsoft.com/office/2007/relationships/diagramDrawing" Target="../diagrams/drawing7.xml"/><Relationship Id="rId5" Type="http://schemas.openxmlformats.org/officeDocument/2006/relationships/diagramColors" Target="../diagrams/colors7.xml"/><Relationship Id="rId4" Type="http://schemas.openxmlformats.org/officeDocument/2006/relationships/diagramQuickStyle" Target="../diagrams/quickStyle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8.xml"/><Relationship Id="rId2" Type="http://schemas.openxmlformats.org/officeDocument/2006/relationships/diagramData" Target="../diagrams/data8.xml"/><Relationship Id="rId1" Type="http://schemas.openxmlformats.org/officeDocument/2006/relationships/hyperlink" Target="#'Mod.Rend.2011 Opt.Entid.Buil-UP'!A1"/><Relationship Id="rId6" Type="http://schemas.microsoft.com/office/2007/relationships/diagramDrawing" Target="../diagrams/drawing8.xml"/><Relationship Id="rId5" Type="http://schemas.openxmlformats.org/officeDocument/2006/relationships/diagramColors" Target="../diagrams/colors8.xml"/><Relationship Id="rId4" Type="http://schemas.openxmlformats.org/officeDocument/2006/relationships/diagramQuickStyle" Target="../diagrams/quickStyle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171450</xdr:rowOff>
    </xdr:from>
    <xdr:to>
      <xdr:col>4</xdr:col>
      <xdr:colOff>0</xdr:colOff>
      <xdr:row>6</xdr:row>
      <xdr:rowOff>1</xdr:rowOff>
    </xdr:to>
    <xdr:cxnSp macro="">
      <xdr:nvCxnSpPr>
        <xdr:cNvPr id="3" name="Conexão recta unidireccional 2"/>
        <xdr:cNvCxnSpPr/>
      </xdr:nvCxnSpPr>
      <xdr:spPr>
        <a:xfrm flipV="1">
          <a:off x="1828800" y="742950"/>
          <a:ext cx="609600" cy="209551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2</xdr:rowOff>
    </xdr:from>
    <xdr:to>
      <xdr:col>4</xdr:col>
      <xdr:colOff>9525</xdr:colOff>
      <xdr:row>6</xdr:row>
      <xdr:rowOff>161925</xdr:rowOff>
    </xdr:to>
    <xdr:cxnSp macro="">
      <xdr:nvCxnSpPr>
        <xdr:cNvPr id="5" name="Conexão recta unidireccional 4"/>
        <xdr:cNvCxnSpPr/>
      </xdr:nvCxnSpPr>
      <xdr:spPr>
        <a:xfrm>
          <a:off x="1828800" y="952502"/>
          <a:ext cx="619125" cy="1619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9</xdr:row>
      <xdr:rowOff>142877</xdr:rowOff>
    </xdr:from>
    <xdr:to>
      <xdr:col>2</xdr:col>
      <xdr:colOff>0</xdr:colOff>
      <xdr:row>11</xdr:row>
      <xdr:rowOff>152400</xdr:rowOff>
    </xdr:to>
    <xdr:cxnSp macro="">
      <xdr:nvCxnSpPr>
        <xdr:cNvPr id="4" name="Conexão recta unidireccional 3"/>
        <xdr:cNvCxnSpPr/>
      </xdr:nvCxnSpPr>
      <xdr:spPr>
        <a:xfrm flipV="1">
          <a:off x="657225" y="1666877"/>
          <a:ext cx="561975" cy="390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133350</xdr:rowOff>
    </xdr:from>
    <xdr:to>
      <xdr:col>4</xdr:col>
      <xdr:colOff>9525</xdr:colOff>
      <xdr:row>10</xdr:row>
      <xdr:rowOff>104773</xdr:rowOff>
    </xdr:to>
    <xdr:cxnSp macro="">
      <xdr:nvCxnSpPr>
        <xdr:cNvPr id="6" name="Conexão recta unidireccional 5"/>
        <xdr:cNvCxnSpPr/>
      </xdr:nvCxnSpPr>
      <xdr:spPr>
        <a:xfrm>
          <a:off x="1924050" y="2038350"/>
          <a:ext cx="619125" cy="1619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8</xdr:row>
      <xdr:rowOff>104775</xdr:rowOff>
    </xdr:from>
    <xdr:to>
      <xdr:col>4</xdr:col>
      <xdr:colOff>9525</xdr:colOff>
      <xdr:row>9</xdr:row>
      <xdr:rowOff>123826</xdr:rowOff>
    </xdr:to>
    <xdr:cxnSp macro="">
      <xdr:nvCxnSpPr>
        <xdr:cNvPr id="7" name="Conexão recta unidireccional 6"/>
        <xdr:cNvCxnSpPr/>
      </xdr:nvCxnSpPr>
      <xdr:spPr>
        <a:xfrm flipV="1">
          <a:off x="1933575" y="1819275"/>
          <a:ext cx="609600" cy="209551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133350</xdr:rowOff>
    </xdr:from>
    <xdr:to>
      <xdr:col>3</xdr:col>
      <xdr:colOff>590550</xdr:colOff>
      <xdr:row>12</xdr:row>
      <xdr:rowOff>123825</xdr:rowOff>
    </xdr:to>
    <xdr:cxnSp macro="">
      <xdr:nvCxnSpPr>
        <xdr:cNvPr id="9" name="Conexão recta unidireccional 8"/>
        <xdr:cNvCxnSpPr/>
      </xdr:nvCxnSpPr>
      <xdr:spPr>
        <a:xfrm>
          <a:off x="1924050" y="2038350"/>
          <a:ext cx="590550" cy="56197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15</xdr:row>
      <xdr:rowOff>133350</xdr:rowOff>
    </xdr:from>
    <xdr:to>
      <xdr:col>4</xdr:col>
      <xdr:colOff>0</xdr:colOff>
      <xdr:row>16</xdr:row>
      <xdr:rowOff>104777</xdr:rowOff>
    </xdr:to>
    <xdr:cxnSp macro="">
      <xdr:nvCxnSpPr>
        <xdr:cNvPr id="12" name="Conexão recta unidireccional 11"/>
        <xdr:cNvCxnSpPr/>
      </xdr:nvCxnSpPr>
      <xdr:spPr>
        <a:xfrm flipV="1">
          <a:off x="2038350" y="2800350"/>
          <a:ext cx="600075" cy="161927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11</xdr:row>
      <xdr:rowOff>152400</xdr:rowOff>
    </xdr:from>
    <xdr:to>
      <xdr:col>1</xdr:col>
      <xdr:colOff>571500</xdr:colOff>
      <xdr:row>16</xdr:row>
      <xdr:rowOff>28575</xdr:rowOff>
    </xdr:to>
    <xdr:cxnSp macro="">
      <xdr:nvCxnSpPr>
        <xdr:cNvPr id="10" name="Conexão recta unidireccional 9"/>
        <xdr:cNvCxnSpPr/>
      </xdr:nvCxnSpPr>
      <xdr:spPr>
        <a:xfrm>
          <a:off x="657225" y="2057400"/>
          <a:ext cx="523875" cy="82867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14</xdr:row>
      <xdr:rowOff>123825</xdr:rowOff>
    </xdr:from>
    <xdr:to>
      <xdr:col>5</xdr:col>
      <xdr:colOff>581025</xdr:colOff>
      <xdr:row>15</xdr:row>
      <xdr:rowOff>114303</xdr:rowOff>
    </xdr:to>
    <xdr:cxnSp macro="">
      <xdr:nvCxnSpPr>
        <xdr:cNvPr id="13" name="Conexão recta unidireccional 12"/>
        <xdr:cNvCxnSpPr/>
      </xdr:nvCxnSpPr>
      <xdr:spPr>
        <a:xfrm flipV="1">
          <a:off x="3419475" y="2600325"/>
          <a:ext cx="561975" cy="18097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15</xdr:row>
      <xdr:rowOff>123825</xdr:rowOff>
    </xdr:from>
    <xdr:to>
      <xdr:col>6</xdr:col>
      <xdr:colOff>0</xdr:colOff>
      <xdr:row>16</xdr:row>
      <xdr:rowOff>104775</xdr:rowOff>
    </xdr:to>
    <xdr:cxnSp macro="">
      <xdr:nvCxnSpPr>
        <xdr:cNvPr id="18" name="Conexão recta unidireccional 17"/>
        <xdr:cNvCxnSpPr/>
      </xdr:nvCxnSpPr>
      <xdr:spPr>
        <a:xfrm>
          <a:off x="3438525" y="2790825"/>
          <a:ext cx="571500" cy="1714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18</xdr:row>
      <xdr:rowOff>114300</xdr:rowOff>
    </xdr:from>
    <xdr:to>
      <xdr:col>6</xdr:col>
      <xdr:colOff>9525</xdr:colOff>
      <xdr:row>19</xdr:row>
      <xdr:rowOff>85727</xdr:rowOff>
    </xdr:to>
    <xdr:cxnSp macro="">
      <xdr:nvCxnSpPr>
        <xdr:cNvPr id="21" name="Conexão recta unidireccional 20"/>
        <xdr:cNvCxnSpPr/>
      </xdr:nvCxnSpPr>
      <xdr:spPr>
        <a:xfrm flipV="1">
          <a:off x="3419475" y="3352800"/>
          <a:ext cx="600075" cy="161927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19</xdr:row>
      <xdr:rowOff>85728</xdr:rowOff>
    </xdr:from>
    <xdr:to>
      <xdr:col>5</xdr:col>
      <xdr:colOff>581025</xdr:colOff>
      <xdr:row>20</xdr:row>
      <xdr:rowOff>104775</xdr:rowOff>
    </xdr:to>
    <xdr:cxnSp macro="">
      <xdr:nvCxnSpPr>
        <xdr:cNvPr id="22" name="Conexão recta unidireccional 21"/>
        <xdr:cNvCxnSpPr/>
      </xdr:nvCxnSpPr>
      <xdr:spPr>
        <a:xfrm>
          <a:off x="3438525" y="3705228"/>
          <a:ext cx="542925" cy="209547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16</xdr:row>
      <xdr:rowOff>114300</xdr:rowOff>
    </xdr:from>
    <xdr:to>
      <xdr:col>3</xdr:col>
      <xdr:colOff>581025</xdr:colOff>
      <xdr:row>19</xdr:row>
      <xdr:rowOff>114300</xdr:rowOff>
    </xdr:to>
    <xdr:cxnSp macro="">
      <xdr:nvCxnSpPr>
        <xdr:cNvPr id="25" name="Conexão recta unidireccional 24"/>
        <xdr:cNvCxnSpPr/>
      </xdr:nvCxnSpPr>
      <xdr:spPr>
        <a:xfrm>
          <a:off x="2038350" y="2971800"/>
          <a:ext cx="571500" cy="57150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0</xdr:row>
      <xdr:rowOff>0</xdr:rowOff>
    </xdr:from>
    <xdr:ext cx="7905750" cy="571500"/>
    <xdr:sp macro="" textlink="">
      <xdr:nvSpPr>
        <xdr:cNvPr id="32" name="Rectângulo 31"/>
        <xdr:cNvSpPr/>
      </xdr:nvSpPr>
      <xdr:spPr>
        <a:xfrm>
          <a:off x="0" y="0"/>
          <a:ext cx="7905750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pt-PT" sz="3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" pitchFamily="34" charset="0"/>
              <a:cs typeface="Arial" pitchFamily="34" charset="0"/>
            </a:rPr>
            <a:t>PAINEL DE CONTROLO</a:t>
          </a:r>
        </a:p>
      </xdr:txBody>
    </xdr:sp>
    <xdr:clientData/>
  </xdr:oneCellAnchor>
  <xdr:twoCellAnchor>
    <xdr:from>
      <xdr:col>8</xdr:col>
      <xdr:colOff>0</xdr:colOff>
      <xdr:row>15</xdr:row>
      <xdr:rowOff>114300</xdr:rowOff>
    </xdr:from>
    <xdr:to>
      <xdr:col>8</xdr:col>
      <xdr:colOff>561975</xdr:colOff>
      <xdr:row>16</xdr:row>
      <xdr:rowOff>104778</xdr:rowOff>
    </xdr:to>
    <xdr:cxnSp macro="">
      <xdr:nvCxnSpPr>
        <xdr:cNvPr id="16" name="Conexão recta unidireccional 15"/>
        <xdr:cNvCxnSpPr/>
      </xdr:nvCxnSpPr>
      <xdr:spPr>
        <a:xfrm flipV="1">
          <a:off x="5476875" y="2971800"/>
          <a:ext cx="561975" cy="18097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16</xdr:row>
      <xdr:rowOff>123825</xdr:rowOff>
    </xdr:from>
    <xdr:to>
      <xdr:col>8</xdr:col>
      <xdr:colOff>571500</xdr:colOff>
      <xdr:row>17</xdr:row>
      <xdr:rowOff>104775</xdr:rowOff>
    </xdr:to>
    <xdr:cxnSp macro="">
      <xdr:nvCxnSpPr>
        <xdr:cNvPr id="17" name="Conexão recta unidireccional 16"/>
        <xdr:cNvCxnSpPr/>
      </xdr:nvCxnSpPr>
      <xdr:spPr>
        <a:xfrm>
          <a:off x="5476875" y="3171825"/>
          <a:ext cx="571500" cy="1714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19</xdr:row>
      <xdr:rowOff>123825</xdr:rowOff>
    </xdr:from>
    <xdr:to>
      <xdr:col>8</xdr:col>
      <xdr:colOff>571500</xdr:colOff>
      <xdr:row>20</xdr:row>
      <xdr:rowOff>114303</xdr:rowOff>
    </xdr:to>
    <xdr:cxnSp macro="">
      <xdr:nvCxnSpPr>
        <xdr:cNvPr id="19" name="Conexão recta unidireccional 18"/>
        <xdr:cNvCxnSpPr/>
      </xdr:nvCxnSpPr>
      <xdr:spPr>
        <a:xfrm flipV="1">
          <a:off x="5486400" y="3743325"/>
          <a:ext cx="561975" cy="18097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20</xdr:row>
      <xdr:rowOff>123825</xdr:rowOff>
    </xdr:from>
    <xdr:to>
      <xdr:col>8</xdr:col>
      <xdr:colOff>590550</xdr:colOff>
      <xdr:row>21</xdr:row>
      <xdr:rowOff>104775</xdr:rowOff>
    </xdr:to>
    <xdr:cxnSp macro="">
      <xdr:nvCxnSpPr>
        <xdr:cNvPr id="20" name="Conexão recta unidireccional 19"/>
        <xdr:cNvCxnSpPr/>
      </xdr:nvCxnSpPr>
      <xdr:spPr>
        <a:xfrm>
          <a:off x="5495925" y="3933825"/>
          <a:ext cx="571500" cy="1714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</xdr:row>
      <xdr:rowOff>95250</xdr:rowOff>
    </xdr:from>
    <xdr:to>
      <xdr:col>8</xdr:col>
      <xdr:colOff>581025</xdr:colOff>
      <xdr:row>16</xdr:row>
      <xdr:rowOff>85729</xdr:rowOff>
    </xdr:to>
    <xdr:cxnSp macro="">
      <xdr:nvCxnSpPr>
        <xdr:cNvPr id="23" name="Conexão recta unidireccional 22"/>
        <xdr:cNvCxnSpPr/>
      </xdr:nvCxnSpPr>
      <xdr:spPr>
        <a:xfrm flipV="1">
          <a:off x="5486400" y="2571750"/>
          <a:ext cx="571500" cy="561979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12</xdr:row>
      <xdr:rowOff>9525</xdr:rowOff>
    </xdr:from>
    <xdr:to>
      <xdr:col>2</xdr:col>
      <xdr:colOff>19050</xdr:colOff>
      <xdr:row>20</xdr:row>
      <xdr:rowOff>171450</xdr:rowOff>
    </xdr:to>
    <xdr:cxnSp macro="">
      <xdr:nvCxnSpPr>
        <xdr:cNvPr id="24" name="Conexão recta unidireccional 23"/>
        <xdr:cNvCxnSpPr/>
      </xdr:nvCxnSpPr>
      <xdr:spPr>
        <a:xfrm>
          <a:off x="676275" y="2295525"/>
          <a:ext cx="561975" cy="16859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5210175" cy="419100"/>
    <xdr:sp macro="" textlink="">
      <xdr:nvSpPr>
        <xdr:cNvPr id="2" name="Rectângulo 1"/>
        <xdr:cNvSpPr/>
      </xdr:nvSpPr>
      <xdr:spPr>
        <a:xfrm>
          <a:off x="0" y="276225"/>
          <a:ext cx="521017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2011 - OPTICA DA</a:t>
          </a:r>
          <a:r>
            <a:rPr lang="pt-PT" sz="1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ENTIDADE - ESTIMANDO O WACC PELO MÉTODO DO CAPM</a:t>
          </a:r>
          <a:endParaRPr lang="pt-PT" sz="12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1266825</xdr:colOff>
      <xdr:row>45</xdr:row>
      <xdr:rowOff>28575</xdr:rowOff>
    </xdr:from>
    <xdr:to>
      <xdr:col>1</xdr:col>
      <xdr:colOff>390525</xdr:colOff>
      <xdr:row>46</xdr:row>
      <xdr:rowOff>180975</xdr:rowOff>
    </xdr:to>
    <xdr:graphicFrame macro="">
      <xdr:nvGraphicFramePr>
        <xdr:cNvPr id="3" name="Diagrama 2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32</xdr:row>
      <xdr:rowOff>19050</xdr:rowOff>
    </xdr:from>
    <xdr:to>
      <xdr:col>0</xdr:col>
      <xdr:colOff>2609850</xdr:colOff>
      <xdr:row>33</xdr:row>
      <xdr:rowOff>171450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1</xdr:row>
      <xdr:rowOff>76200</xdr:rowOff>
    </xdr:from>
    <xdr:ext cx="5305425" cy="419100"/>
    <xdr:sp macro="" textlink="">
      <xdr:nvSpPr>
        <xdr:cNvPr id="3" name="Rectângulo 2"/>
        <xdr:cNvSpPr/>
      </xdr:nvSpPr>
      <xdr:spPr>
        <a:xfrm>
          <a:off x="0" y="266700"/>
          <a:ext cx="530542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2010 - OPTICA DO INVESTIDOR 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5200650" cy="419100"/>
    <xdr:sp macro="" textlink="">
      <xdr:nvSpPr>
        <xdr:cNvPr id="2" name="Rectângulo 1"/>
        <xdr:cNvSpPr/>
      </xdr:nvSpPr>
      <xdr:spPr>
        <a:xfrm>
          <a:off x="1" y="381000"/>
          <a:ext cx="5200650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1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2010 - OPTICA DA</a:t>
          </a:r>
          <a:r>
            <a:rPr lang="pt-PT" sz="11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ENTIDADE - ESTIMANDO O WACC PELO MÉTODO DO BUILD-UP</a:t>
          </a:r>
          <a:endParaRPr lang="pt-PT" sz="11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1038225</xdr:colOff>
      <xdr:row>38</xdr:row>
      <xdr:rowOff>76200</xdr:rowOff>
    </xdr:from>
    <xdr:to>
      <xdr:col>1</xdr:col>
      <xdr:colOff>219075</xdr:colOff>
      <xdr:row>40</xdr:row>
      <xdr:rowOff>38100</xdr:rowOff>
    </xdr:to>
    <xdr:graphicFrame macro="">
      <xdr:nvGraphicFramePr>
        <xdr:cNvPr id="3" name="Diagrama 2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114300</xdr:rowOff>
    </xdr:from>
    <xdr:ext cx="5210175" cy="419100"/>
    <xdr:sp macro="" textlink="">
      <xdr:nvSpPr>
        <xdr:cNvPr id="2" name="Rectângulo 1"/>
        <xdr:cNvSpPr/>
      </xdr:nvSpPr>
      <xdr:spPr>
        <a:xfrm>
          <a:off x="0" y="304800"/>
          <a:ext cx="521017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2010 - OPTICA DA</a:t>
          </a:r>
          <a:r>
            <a:rPr lang="pt-PT" sz="1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ENTIDADE - ESTIMANDO O WACC PELO MÉTODO DO CAPM</a:t>
          </a:r>
          <a:endParaRPr lang="pt-PT" sz="12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1095375</xdr:colOff>
      <xdr:row>45</xdr:row>
      <xdr:rowOff>19050</xdr:rowOff>
    </xdr:from>
    <xdr:to>
      <xdr:col>1</xdr:col>
      <xdr:colOff>114300</xdr:colOff>
      <xdr:row>46</xdr:row>
      <xdr:rowOff>171450</xdr:rowOff>
    </xdr:to>
    <xdr:graphicFrame macro="">
      <xdr:nvGraphicFramePr>
        <xdr:cNvPr id="3" name="Diagrama 2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5200650" cy="419100"/>
    <xdr:sp macro="" textlink="">
      <xdr:nvSpPr>
        <xdr:cNvPr id="2" name="Rectângulo 1"/>
        <xdr:cNvSpPr/>
      </xdr:nvSpPr>
      <xdr:spPr>
        <a:xfrm>
          <a:off x="0" y="257175"/>
          <a:ext cx="5200650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1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QUADRO</a:t>
          </a:r>
          <a:r>
            <a:rPr lang="pt-PT" sz="11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RESUMO  DE 2011/2010 </a:t>
          </a:r>
          <a:endParaRPr lang="pt-PT" sz="11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1704975</xdr:colOff>
      <xdr:row>23</xdr:row>
      <xdr:rowOff>38100</xdr:rowOff>
    </xdr:from>
    <xdr:to>
      <xdr:col>2</xdr:col>
      <xdr:colOff>85725</xdr:colOff>
      <xdr:row>25</xdr:row>
      <xdr:rowOff>0</xdr:rowOff>
    </xdr:to>
    <xdr:graphicFrame macro="">
      <xdr:nvGraphicFramePr>
        <xdr:cNvPr id="5" name="Diagrama 4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31</xdr:row>
      <xdr:rowOff>123825</xdr:rowOff>
    </xdr:from>
    <xdr:to>
      <xdr:col>1</xdr:col>
      <xdr:colOff>476250</xdr:colOff>
      <xdr:row>33</xdr:row>
      <xdr:rowOff>85725</xdr:rowOff>
    </xdr:to>
    <xdr:graphicFrame macro="">
      <xdr:nvGraphicFramePr>
        <xdr:cNvPr id="3" name="Diagrama 2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60</xdr:row>
      <xdr:rowOff>0</xdr:rowOff>
    </xdr:from>
    <xdr:to>
      <xdr:col>1</xdr:col>
      <xdr:colOff>571500</xdr:colOff>
      <xdr:row>61</xdr:row>
      <xdr:rowOff>152400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52</xdr:row>
      <xdr:rowOff>133350</xdr:rowOff>
    </xdr:from>
    <xdr:to>
      <xdr:col>1</xdr:col>
      <xdr:colOff>47625</xdr:colOff>
      <xdr:row>54</xdr:row>
      <xdr:rowOff>95250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2</xdr:row>
      <xdr:rowOff>0</xdr:rowOff>
    </xdr:from>
    <xdr:ext cx="5686424" cy="269369"/>
    <xdr:sp macro="" textlink="">
      <xdr:nvSpPr>
        <xdr:cNvPr id="3" name="Rectângulo 2"/>
        <xdr:cNvSpPr/>
      </xdr:nvSpPr>
      <xdr:spPr>
        <a:xfrm>
          <a:off x="0" y="381000"/>
          <a:ext cx="5686424" cy="269369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PATRIMÓNIO 2011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87</xdr:row>
      <xdr:rowOff>123825</xdr:rowOff>
    </xdr:from>
    <xdr:to>
      <xdr:col>0</xdr:col>
      <xdr:colOff>2695575</xdr:colOff>
      <xdr:row>89</xdr:row>
      <xdr:rowOff>85725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2</xdr:row>
      <xdr:rowOff>0</xdr:rowOff>
    </xdr:from>
    <xdr:ext cx="5572125" cy="269369"/>
    <xdr:sp macro="" textlink="">
      <xdr:nvSpPr>
        <xdr:cNvPr id="4" name="Rectângulo 3"/>
        <xdr:cNvSpPr/>
      </xdr:nvSpPr>
      <xdr:spPr>
        <a:xfrm>
          <a:off x="0" y="381000"/>
          <a:ext cx="5572125" cy="269369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PATRIMÓNIO 2010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27</xdr:row>
      <xdr:rowOff>114300</xdr:rowOff>
    </xdr:from>
    <xdr:to>
      <xdr:col>1</xdr:col>
      <xdr:colOff>390525</xdr:colOff>
      <xdr:row>29</xdr:row>
      <xdr:rowOff>76200</xdr:rowOff>
    </xdr:to>
    <xdr:graphicFrame macro="">
      <xdr:nvGraphicFramePr>
        <xdr:cNvPr id="3" name="Diagrama 2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2</xdr:row>
      <xdr:rowOff>0</xdr:rowOff>
    </xdr:from>
    <xdr:ext cx="5495925" cy="269369"/>
    <xdr:sp macro="" textlink="">
      <xdr:nvSpPr>
        <xdr:cNvPr id="4" name="Rectângulo 3"/>
        <xdr:cNvSpPr/>
      </xdr:nvSpPr>
      <xdr:spPr>
        <a:xfrm>
          <a:off x="0" y="381000"/>
          <a:ext cx="5495925" cy="269369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VARIAÇÃO</a:t>
          </a:r>
          <a:r>
            <a:rPr lang="pt-PT" sz="1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DO </a:t>
          </a:r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PATRIMÓNIO 2011/2010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210175" cy="419100"/>
    <xdr:sp macro="" textlink="">
      <xdr:nvSpPr>
        <xdr:cNvPr id="2" name="Rectângulo 1"/>
        <xdr:cNvSpPr/>
      </xdr:nvSpPr>
      <xdr:spPr>
        <a:xfrm>
          <a:off x="0" y="381000"/>
          <a:ext cx="521017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2011 - ATUALIZAÇÃO DOS CASH-FLOWS</a:t>
          </a:r>
        </a:p>
      </xdr:txBody>
    </xdr:sp>
    <xdr:clientData/>
  </xdr:oneCellAnchor>
  <xdr:twoCellAnchor>
    <xdr:from>
      <xdr:col>0</xdr:col>
      <xdr:colOff>85725</xdr:colOff>
      <xdr:row>78</xdr:row>
      <xdr:rowOff>0</xdr:rowOff>
    </xdr:from>
    <xdr:to>
      <xdr:col>3</xdr:col>
      <xdr:colOff>819150</xdr:colOff>
      <xdr:row>92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1066800</xdr:colOff>
      <xdr:row>115</xdr:row>
      <xdr:rowOff>171450</xdr:rowOff>
    </xdr:from>
    <xdr:to>
      <xdr:col>1</xdr:col>
      <xdr:colOff>333375</xdr:colOff>
      <xdr:row>117</xdr:row>
      <xdr:rowOff>133350</xdr:rowOff>
    </xdr:to>
    <xdr:graphicFrame macro="">
      <xdr:nvGraphicFramePr>
        <xdr:cNvPr id="4" name="Diagrama 3">
          <a:hlinkClick xmlns:r="http://schemas.openxmlformats.org/officeDocument/2006/relationships" r:id="rId2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3" r:lo="rId4" r:qs="rId5" r:cs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32</xdr:row>
      <xdr:rowOff>28575</xdr:rowOff>
    </xdr:from>
    <xdr:to>
      <xdr:col>1</xdr:col>
      <xdr:colOff>390525</xdr:colOff>
      <xdr:row>33</xdr:row>
      <xdr:rowOff>180975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1</xdr:row>
      <xdr:rowOff>114300</xdr:rowOff>
    </xdr:from>
    <xdr:ext cx="5400675" cy="419100"/>
    <xdr:sp macro="" textlink="">
      <xdr:nvSpPr>
        <xdr:cNvPr id="3" name="Rectângulo 2"/>
        <xdr:cNvSpPr/>
      </xdr:nvSpPr>
      <xdr:spPr>
        <a:xfrm>
          <a:off x="0" y="304800"/>
          <a:ext cx="540067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2011 - OPTICA DO INVESTIDOR -</a:t>
          </a:r>
          <a:r>
            <a:rPr lang="pt-PT" sz="1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ESTIMANDO O WACC PELO MÉTODO BUILD-UP</a:t>
          </a:r>
          <a:endParaRPr lang="pt-PT" sz="12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39</xdr:row>
      <xdr:rowOff>66675</xdr:rowOff>
    </xdr:from>
    <xdr:to>
      <xdr:col>1</xdr:col>
      <xdr:colOff>533400</xdr:colOff>
      <xdr:row>41</xdr:row>
      <xdr:rowOff>28575</xdr:rowOff>
    </xdr:to>
    <xdr:graphicFrame macro="">
      <xdr:nvGraphicFramePr>
        <xdr:cNvPr id="2" name="Diagrama 1">
          <a:hlinkClick xmlns:r="http://schemas.openxmlformats.org/officeDocument/2006/relationships" r:id="rId1"/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oneCellAnchor>
    <xdr:from>
      <xdr:col>0</xdr:col>
      <xdr:colOff>0</xdr:colOff>
      <xdr:row>1</xdr:row>
      <xdr:rowOff>95250</xdr:rowOff>
    </xdr:from>
    <xdr:ext cx="5400675" cy="419100"/>
    <xdr:sp macro="" textlink="">
      <xdr:nvSpPr>
        <xdr:cNvPr id="3" name="Rectângulo 2"/>
        <xdr:cNvSpPr/>
      </xdr:nvSpPr>
      <xdr:spPr>
        <a:xfrm>
          <a:off x="0" y="285750"/>
          <a:ext cx="5400675" cy="4191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pt-PT" sz="1200" b="1" cap="none" spc="5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MODELO COM BASE NO RENDIMENTO 2011 - OPTICA DA</a:t>
          </a:r>
          <a:r>
            <a:rPr lang="pt-PT" sz="1200" b="1" cap="none" spc="50" baseline="0">
              <a:ln w="12700" cmpd="sng">
                <a:solidFill>
                  <a:schemeClr val="accent6">
                    <a:satMod val="120000"/>
                    <a:shade val="80000"/>
                  </a:schemeClr>
                </a:solidFill>
                <a:prstDash val="solid"/>
              </a:ln>
              <a:solidFill>
                <a:schemeClr val="accent6">
                  <a:tint val="1000"/>
                </a:schemeClr>
              </a:solidFill>
              <a:effectLst>
                <a:glow rad="53100">
                  <a:schemeClr val="accent6">
                    <a:satMod val="180000"/>
                    <a:alpha val="30000"/>
                  </a:schemeClr>
                </a:glow>
              </a:effectLst>
              <a:latin typeface="Arial" pitchFamily="34" charset="0"/>
              <a:cs typeface="Arial" pitchFamily="34" charset="0"/>
            </a:rPr>
            <a:t> ENTIDADE - ESTIMANDO O WACC PELO MÉTODO DO BUILD-UP</a:t>
          </a:r>
          <a:endParaRPr lang="pt-PT" sz="12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6">
                <a:tint val="1000"/>
              </a:schemeClr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1" name="Tabela21" displayName="Tabela21" ref="A28:B30" totalsRowShown="0" headerRowDxfId="227" dataDxfId="226">
  <tableColumns count="2">
    <tableColumn id="1" name="Taxa de Imposto Sobre o Rendimento (IRC)" dataDxfId="225"/>
    <tableColumn id="2" name="Valor em %" dataDxfId="224" dataCellStyle="Percentagem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8" name="Tabela359" displayName="Tabela359" ref="A59:B70" totalsRowCount="1" headerRowDxfId="185" dataDxfId="184" totalsRowDxfId="183">
  <tableColumns count="2">
    <tableColumn id="1" name="Capitais Permanentes" totalsRowLabel="Total dos Passivos Não Correntes ( 2 )" dataDxfId="182" totalsRowDxfId="181"/>
    <tableColumn id="2" name="Unidade: (10³€)" totalsRowFunction="custom" dataDxfId="180" totalsRowDxfId="179">
      <totalsRowFormula>SUM(B62:B69)</totalsRow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ela11" displayName="Tabela11" ref="A7:B9" totalsRowShown="0" headerRowDxfId="178" dataDxfId="177">
  <tableColumns count="2">
    <tableColumn id="1" name="Opticas" dataDxfId="176"/>
    <tableColumn id="2" name="Variação em % (2011/2010)" dataDxfId="175" dataCellStyle="Percentagem">
      <calculatedColumnFormula>Tabela2[[#This Row],[Unidade: (10³€)]]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ela1113" displayName="Tabela1113" ref="A13:B15" totalsRowShown="0" headerRowDxfId="174" dataDxfId="173">
  <tableColumns count="2">
    <tableColumn id="1" name="Opticas" dataDxfId="172">
      <calculatedColumnFormula>Tabela1[[#This Row],[Valor Substancial]]</calculatedColumnFormula>
    </tableColumn>
    <tableColumn id="2" name="Variação em % (2011/2010)" dataDxfId="171" dataCellStyle="Percentagem">
      <calculatedColumnFormula>Tabela1[[#This Row],[Unidade: (10³€)]]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5" name="Tabela111316" displayName="Tabela111316" ref="A19:B22" totalsRowShown="0" headerRowDxfId="170" dataDxfId="169">
  <tableColumns count="2">
    <tableColumn id="1" name="Descrição" dataDxfId="168">
      <calculatedColumnFormula>Tabela1[[#This Row],[Valor Substancial]]</calculatedColumnFormula>
    </tableColumn>
    <tableColumn id="2" name="Variação em % (2011/2010)" dataDxfId="167" dataCellStyle="Percentagem">
      <calculatedColumnFormula>(Tabela1[[#This Row],[Unidade: (10³€)]]-Tabela18[[#This Row],[Unidade: (10³€)]])/Tabela18[[#This Row],[Unidade: (10³€)]]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7" name="Tabela1118" displayName="Tabela1118" ref="A24:B26" totalsRowShown="0" headerRowDxfId="166" dataDxfId="165">
  <tableColumns count="2">
    <tableColumn id="1" name="Opticas" dataDxfId="164">
      <calculatedColumnFormula>'Modelo Património 2011'!A51</calculatedColumnFormula>
    </tableColumn>
    <tableColumn id="2" name="Variação em % (2011/2010)" dataDxfId="163" dataCellStyle="Percentagem">
      <calculatedColumnFormula>(Tabela2[[#This Row],[Unidade: (10³€)]]-Tabela27[[#This Row],[Unidade: (10³€)]])/Tabela27[[#This Row],[Unidade: (10³€)]]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9" name="Tabela284510" displayName="Tabela284510" ref="A22:B24" totalsRowShown="0" headerRowDxfId="162" dataDxfId="161">
  <tableColumns count="2">
    <tableColumn id="1" name="Descrição" dataDxfId="160"/>
    <tableColumn id="2" name="Valor em %" dataDxfId="159" dataCellStyle="Percentagem">
      <calculatedColumnFormula>1/(1+B17)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4" name="Tabela14" displayName="Tabela14" ref="A16:B21" totalsRowCount="1" headerRowDxfId="158" dataDxfId="157" totalsRowDxfId="156">
  <tableColumns count="2">
    <tableColumn id="1" name="Descrição" totalsRowLabel="Total do Custo do Capital Próprio (WACC)" dataDxfId="155" totalsRowDxfId="154"/>
    <tableColumn id="2" name="Valor em %" totalsRowFunction="sum" dataDxfId="153" totalsRowDxfId="152" dataCellStyle="Percentagem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8" name="Tabela19" displayName="Tabela19" ref="A23:B24" totalsRowShown="0" headerRowDxfId="151" dataDxfId="150">
  <tableColumns count="2">
    <tableColumn id="1" name="Descrição" dataDxfId="149"/>
    <tableColumn id="2" name="Valor em %" dataDxfId="148" dataCellStyle="Percentagem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9" name="Tabela20" displayName="Tabela20" ref="A28:B31" totalsRowCount="1" headerRowDxfId="147" dataDxfId="146" totalsRowDxfId="145">
  <tableColumns count="2">
    <tableColumn id="1" name="Descrição" totalsRowLabel="Total do valor da empresa (Ativo)" dataDxfId="144" totalsRowDxfId="143"/>
    <tableColumn id="2" name="Unidade: (10³ €)" totalsRowFunction="sum" dataDxfId="142" totalsRowDxfId="141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20" name="Tabela1321" displayName="Tabela1321" ref="A7:B12" totalsRowCount="1" headerRowDxfId="140" dataDxfId="139" totalsRowDxfId="138">
  <tableColumns count="2">
    <tableColumn id="1" name="Drescrição" totalsRowLabel="Total do Free Cash-Flow" dataDxfId="137" totalsRowDxfId="136"/>
    <tableColumn id="2" name="Unidade: (10³ €)" totalsRowFunction="sum" dataDxfId="135" totalsRowDxfId="13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7:B9" totalsRowShown="0" headerRowDxfId="223" dataDxfId="222">
  <tableColumns count="2">
    <tableColumn id="1" name="Opticas" dataDxfId="221"/>
    <tableColumn id="2" name="Unidade: (10³€)" dataDxfId="220">
      <calculatedColumnFormula>Balanço!C26</calculatedColumnFormula>
    </tableColumn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22" name="Tabela1423" displayName="Tabela1423" ref="A16:B21" totalsRowCount="1" headerRowDxfId="133" dataDxfId="132" totalsRowDxfId="131">
  <tableColumns count="2">
    <tableColumn id="1" name="Descrição" totalsRowLabel="Sub-total do Custo do Capital Próprio (WACC)" dataDxfId="130" totalsRowDxfId="129"/>
    <tableColumn id="2" name="Valor em %" totalsRowFunction="sum" dataDxfId="128" totalsRowDxfId="127" dataCellStyle="Percentagem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25" name="Tabela25" displayName="Tabela25" ref="A26:C30" totalsRowCount="1" headerRowDxfId="126" dataDxfId="125" totalsRowDxfId="124">
  <tableColumns count="3">
    <tableColumn id="1" name="Capital Próprio em % :" totalsRowLabel="Total do Capital Próprio em %" dataDxfId="123" totalsRowDxfId="122"/>
    <tableColumn id="2" name="Unidade: (10³ €)" dataDxfId="121" totalsRowDxfId="120"/>
    <tableColumn id="3" name="Valor em %" totalsRowFunction="custom" dataDxfId="119" totalsRowDxfId="118" dataCellStyle="Percentagem">
      <totalsRowFormula>C29</totalsRowFormula>
    </tableColumn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27" name="Tabela1928" displayName="Tabela1928" ref="A33:B35" totalsRowShown="0" headerRowDxfId="117" dataDxfId="116">
  <tableColumns count="2">
    <tableColumn id="1" name="Descrição" dataDxfId="115"/>
    <tableColumn id="2" name="Valor em %" dataDxfId="114" dataCellStyle="Percentagem">
      <calculatedColumnFormula>Tabela19[Valor em %]</calculatedColumnFormula>
    </tableColumn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23" name="Tabela132124" displayName="Tabela132124" ref="A7:B12" totalsRowCount="1" headerRowDxfId="113" dataDxfId="112" totalsRowDxfId="111">
  <tableColumns count="2">
    <tableColumn id="1" name="Drescrição" totalsRowLabel="Total do Free Cash-Flow" dataDxfId="110" totalsRowDxfId="109"/>
    <tableColumn id="2" name="Unidade: (10³ €)" totalsRowFunction="sum" dataDxfId="108" totalsRowDxfId="107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id="24" name="Tabela142325" displayName="Tabela142325" ref="A16:B22" totalsRowCount="1" headerRowDxfId="106" dataDxfId="105" totalsRowDxfId="104">
  <tableColumns count="2">
    <tableColumn id="1" name="Descrição" totalsRowLabel="Sub-total do Custo médio do Capital Próprio (WACC)" dataDxfId="103" totalsRowDxfId="102"/>
    <tableColumn id="2" name="Valor em %" totalsRowFunction="custom" dataDxfId="101" totalsRowDxfId="100" dataCellStyle="Percentagem">
      <totalsRowFormula>B17+B19+B20+B21</totalsRowFormula>
    </tableColumn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id="26" name="Tabela28" displayName="Tabela28" ref="A36:B38" totalsRowShown="0" headerRowDxfId="99" dataDxfId="98">
  <tableColumns count="2">
    <tableColumn id="1" name="Descrição" dataDxfId="97"/>
    <tableColumn id="2" name="Valor em %" dataDxfId="96" dataCellStyle="Percentagem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id="28" name="Tabela2529" displayName="Tabela2529" ref="A27:C31" totalsRowCount="1" headerRowDxfId="95" dataDxfId="94" totalsRowDxfId="93">
  <tableColumns count="3">
    <tableColumn id="1" name="Capital Próprio em % :" totalsRowLabel="Total do Capital Próprio em %" dataDxfId="92" totalsRowDxfId="91"/>
    <tableColumn id="2" name="Unidade: (10³ €)" dataDxfId="90" totalsRowDxfId="89"/>
    <tableColumn id="3" name="Valor em %" totalsRowFunction="custom" dataDxfId="88" totalsRowDxfId="87" dataCellStyle="Percentagem">
      <totalsRowFormula>C30</totalsRowFormula>
    </tableColumn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id="29" name="Tabela192830" displayName="Tabela192830" ref="A40:B42" totalsRowShown="0" headerRowDxfId="86" dataDxfId="85">
  <tableColumns count="2">
    <tableColumn id="1" name="Descrição" dataDxfId="84"/>
    <tableColumn id="2" name="Valor em %" dataDxfId="83" dataCellStyle="Percentagem">
      <calculatedColumnFormula>Tabela19[Valor em %]</calculatedColumnFormula>
    </tableColumn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id="30" name="Tabela1331" displayName="Tabela1331" ref="A7:B12" totalsRowCount="1" headerRowDxfId="82" dataDxfId="81" totalsRowDxfId="80">
  <tableColumns count="2">
    <tableColumn id="1" name="Drescrição" totalsRowLabel="Total do Free Cash-Flow" dataDxfId="79" totalsRowDxfId="78"/>
    <tableColumn id="2" name="Unidade: (10³ €)" totalsRowFunction="sum" dataDxfId="77" totalsRowDxfId="76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id="31" name="Tabela1432" displayName="Tabela1432" ref="A16:B21" totalsRowCount="1" headerRowDxfId="75" dataDxfId="74" totalsRowDxfId="73">
  <tableColumns count="2">
    <tableColumn id="1" name="Descrição" totalsRowLabel="Total do Custo do Capital Próprio (WACC)" dataDxfId="72" totalsRowDxfId="71"/>
    <tableColumn id="2" name="Valor em %" totalsRowFunction="sum" dataDxfId="70" totalsRowDxfId="69" dataCellStyle="Percentagem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A13:B15" totalsRowShown="0" headerRowDxfId="219" dataDxfId="218">
  <tableColumns count="2">
    <tableColumn id="1" name="Valor Substancial" dataDxfId="217"/>
    <tableColumn id="2" name="Unidade: (10³€)" dataDxfId="216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id="32" name="Tabela1933" displayName="Tabela1933" ref="A23:B24" totalsRowShown="0" headerRowDxfId="68" dataDxfId="67">
  <tableColumns count="2">
    <tableColumn id="1" name="Descrição" dataDxfId="66"/>
    <tableColumn id="2" name="Valor em %" dataDxfId="65" dataCellStyle="Percentagem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id="33" name="Tabela2034" displayName="Tabela2034" ref="A28:B31" totalsRowCount="1" headerRowDxfId="64" dataDxfId="63" totalsRowDxfId="62">
  <tableColumns count="2">
    <tableColumn id="1" name="Descrição" totalsRowLabel="Total do valor da organização (Ativo)" dataDxfId="61" totalsRowDxfId="60"/>
    <tableColumn id="2" name="Unidade: (10³ €)" totalsRowFunction="sum" dataDxfId="59" totalsRowDxfId="58"/>
  </tableColumns>
  <tableStyleInfo name="TableStyleMedium9" showFirstColumn="0" showLastColumn="0" showRowStripes="1" showColumnStripes="0"/>
</table>
</file>

<file path=xl/tables/table32.xml><?xml version="1.0" encoding="utf-8"?>
<table xmlns="http://schemas.openxmlformats.org/spreadsheetml/2006/main" id="34" name="Tabela132135" displayName="Tabela132135" ref="A8:B13" totalsRowCount="1" headerRowDxfId="57" dataDxfId="56" totalsRowDxfId="55">
  <tableColumns count="2">
    <tableColumn id="1" name="Drescrição" totalsRowLabel="Total do Free Cash-Flow" dataDxfId="54" totalsRowDxfId="53"/>
    <tableColumn id="2" name="Unidade: (10³ €)" totalsRowFunction="sum" dataDxfId="52" totalsRowDxfId="51"/>
  </tableColumns>
  <tableStyleInfo name="TableStyleMedium9" showFirstColumn="0" showLastColumn="0" showRowStripes="1" showColumnStripes="0"/>
</table>
</file>

<file path=xl/tables/table33.xml><?xml version="1.0" encoding="utf-8"?>
<table xmlns="http://schemas.openxmlformats.org/spreadsheetml/2006/main" id="35" name="Tabela142336" displayName="Tabela142336" ref="A17:B22" totalsRowCount="1" headerRowDxfId="50" dataDxfId="49" totalsRowDxfId="48">
  <tableColumns count="2">
    <tableColumn id="1" name="Descrição" totalsRowLabel="Sub-total do Custo do Capital Próprio (WACC)" dataDxfId="47" totalsRowDxfId="46"/>
    <tableColumn id="2" name="Valor em %" totalsRowFunction="sum" dataDxfId="45" totalsRowDxfId="44" dataCellStyle="Percentagem"/>
  </tableColumns>
  <tableStyleInfo name="TableStyleMedium9" showFirstColumn="0" showLastColumn="0" showRowStripes="1" showColumnStripes="0"/>
</table>
</file>

<file path=xl/tables/table34.xml><?xml version="1.0" encoding="utf-8"?>
<table xmlns="http://schemas.openxmlformats.org/spreadsheetml/2006/main" id="36" name="Tabela2537" displayName="Tabela2537" ref="A27:C31" totalsRowCount="1" headerRowDxfId="43" dataDxfId="42" totalsRowDxfId="41">
  <tableColumns count="3">
    <tableColumn id="1" name="Capital Próprio em % :" totalsRowLabel="Total do Capital Próprio em %" dataDxfId="40" totalsRowDxfId="39"/>
    <tableColumn id="2" name="Unidade: (10³ €)" dataDxfId="38" totalsRowDxfId="37"/>
    <tableColumn id="3" name="Valor em %" totalsRowFunction="custom" dataDxfId="36" totalsRowDxfId="35" dataCellStyle="Percentagem">
      <totalsRowFormula>C30</totalsRowFormula>
    </tableColumn>
  </tableColumns>
  <tableStyleInfo name="TableStyleMedium9" showFirstColumn="0" showLastColumn="0" showRowStripes="1" showColumnStripes="0"/>
</table>
</file>

<file path=xl/tables/table35.xml><?xml version="1.0" encoding="utf-8"?>
<table xmlns="http://schemas.openxmlformats.org/spreadsheetml/2006/main" id="37" name="Tabela192838" displayName="Tabela192838" ref="A34:B36" totalsRowShown="0" headerRowDxfId="34" dataDxfId="33">
  <tableColumns count="2">
    <tableColumn id="1" name="Descrição" dataDxfId="32"/>
    <tableColumn id="2" name="Valor em %" dataDxfId="31" dataCellStyle="Percentagem">
      <calculatedColumnFormula>Tabela19[Valor em %]</calculatedColumnFormula>
    </tableColumn>
  </tableColumns>
  <tableStyleInfo name="TableStyleMedium9" showFirstColumn="0" showLastColumn="0" showRowStripes="1" showColumnStripes="0"/>
</table>
</file>

<file path=xl/tables/table36.xml><?xml version="1.0" encoding="utf-8"?>
<table xmlns="http://schemas.openxmlformats.org/spreadsheetml/2006/main" id="38" name="Tabela13212439" displayName="Tabela13212439" ref="A8:B13" totalsRowCount="1" headerRowDxfId="30" dataDxfId="29" totalsRowDxfId="28">
  <tableColumns count="2">
    <tableColumn id="1" name="Drescrição" totalsRowLabel="Total do Free Cash-Flow" dataDxfId="27" totalsRowDxfId="26"/>
    <tableColumn id="2" name="Unidade: (10³ €)" totalsRowFunction="sum" dataDxfId="25" totalsRowDxfId="24"/>
  </tableColumns>
  <tableStyleInfo name="TableStyleMedium9" showFirstColumn="0" showLastColumn="0" showRowStripes="1" showColumnStripes="0"/>
</table>
</file>

<file path=xl/tables/table37.xml><?xml version="1.0" encoding="utf-8"?>
<table xmlns="http://schemas.openxmlformats.org/spreadsheetml/2006/main" id="39" name="Tabela14232540" displayName="Tabela14232540" ref="A17:B23" totalsRowCount="1" headerRowDxfId="23" dataDxfId="22" totalsRowDxfId="21">
  <tableColumns count="2">
    <tableColumn id="1" name="Descrição" totalsRowLabel="Sub-total do Custo do Capital Próprio (WACC)" dataDxfId="20" totalsRowDxfId="19"/>
    <tableColumn id="2" name="Valor em %" totalsRowFunction="custom" dataDxfId="18" totalsRowDxfId="17" dataCellStyle="Percentagem">
      <totalsRowFormula>B18+B20+B21+B22</totalsRowFormula>
    </tableColumn>
  </tableColumns>
  <tableStyleInfo name="TableStyleMedium9" showFirstColumn="0" showLastColumn="0" showRowStripes="1" showColumnStripes="0"/>
</table>
</file>

<file path=xl/tables/table38.xml><?xml version="1.0" encoding="utf-8"?>
<table xmlns="http://schemas.openxmlformats.org/spreadsheetml/2006/main" id="40" name="Tabela2841" displayName="Tabela2841" ref="A37:B39" totalsRowShown="0" headerRowDxfId="16" dataDxfId="15">
  <tableColumns count="2">
    <tableColumn id="1" name="Descrição" dataDxfId="14"/>
    <tableColumn id="2" name="Valor em %" dataDxfId="13" dataCellStyle="Percentagem"/>
  </tableColumns>
  <tableStyleInfo name="TableStyleMedium9" showFirstColumn="0" showLastColumn="0" showRowStripes="1" showColumnStripes="0"/>
</table>
</file>

<file path=xl/tables/table39.xml><?xml version="1.0" encoding="utf-8"?>
<table xmlns="http://schemas.openxmlformats.org/spreadsheetml/2006/main" id="41" name="Tabela252942" displayName="Tabela252942" ref="A28:C32" totalsRowCount="1" headerRowDxfId="12" dataDxfId="11" totalsRowDxfId="10">
  <tableColumns count="3">
    <tableColumn id="1" name="Capital Próprio em % :" totalsRowLabel="Total do Capital Próprio em %" dataDxfId="9" totalsRowDxfId="8"/>
    <tableColumn id="2" name="Unidade: (10³ €)" dataDxfId="7" totalsRowDxfId="6"/>
    <tableColumn id="3" name="Valor em %" totalsRowFunction="custom" dataDxfId="5" totalsRowDxfId="4" dataCellStyle="Percentagem">
      <totalsRowFormula>C31</totalsRow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ela26" displayName="Tabela26" ref="A50:B52" totalsRowShown="0" headerRowDxfId="215" dataDxfId="214">
  <tableColumns count="2">
    <tableColumn id="1" name="Opticas" dataDxfId="213">
      <calculatedColumnFormula>A8</calculatedColumnFormula>
    </tableColumn>
    <tableColumn id="2" name="Unidade: (10³€)" dataDxfId="212">
      <calculatedColumnFormula>Balanço!C60</calculatedColumnFormula>
    </tableColumn>
  </tableColumns>
  <tableStyleInfo name="TableStyleMedium9" showFirstColumn="0" showLastColumn="0" showRowStripes="1" showColumnStripes="0"/>
</table>
</file>

<file path=xl/tables/table40.xml><?xml version="1.0" encoding="utf-8"?>
<table xmlns="http://schemas.openxmlformats.org/spreadsheetml/2006/main" id="42" name="Tabela19283043" displayName="Tabela19283043" ref="A41:B43" totalsRowShown="0" headerRowDxfId="3" dataDxfId="2">
  <tableColumns count="2">
    <tableColumn id="1" name="Descrição" dataDxfId="1"/>
    <tableColumn id="2" name="Valor em %" dataDxfId="0" dataCellStyle="Percentagem">
      <calculatedColumnFormula>Tabela19[Valor em %]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abela3" displayName="Tabela3" ref="A20:B31" totalsRowCount="1" headerRowDxfId="211" dataDxfId="210" totalsRowDxfId="209">
  <tableColumns count="2">
    <tableColumn id="1" name="Capitais Permanentes" totalsRowLabel="Total dos Passivos Não Correntes ( 2 )" dataDxfId="208" totalsRowDxfId="207"/>
    <tableColumn id="2" name="Unidade: (10³€)" totalsRowFunction="custom" dataDxfId="206" totalsRowDxfId="205">
      <totalsRowFormula>SUM(B23:B30)</totalsRow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ela27" displayName="Tabela27" ref="A7:B9" totalsRowShown="0" headerRowDxfId="204" dataDxfId="203">
  <tableColumns count="2">
    <tableColumn id="1" name="Opticas" dataDxfId="202"/>
    <tableColumn id="2" name="Unidade: (10³€)" dataDxfId="201">
      <calculatedColumnFormula>Balanço!C26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ela18" displayName="Tabela18" ref="A13:B15" totalsRowShown="0" headerRowDxfId="200" dataDxfId="199">
  <tableColumns count="2">
    <tableColumn id="1" name="Valor Substancial" dataDxfId="198"/>
    <tableColumn id="2" name="Unidade: (10³€)" dataDxfId="19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0" name="Tabela2611" displayName="Tabela2611" ref="A50:B52" totalsRowShown="0" headerRowDxfId="196" dataDxfId="195">
  <tableColumns count="2">
    <tableColumn id="1" name="Opticas" dataDxfId="194"/>
    <tableColumn id="2" name="Unidade: (10³€)" dataDxfId="193">
      <calculatedColumnFormula>Balanço!C60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4" name="Tabela35" displayName="Tabela35" ref="A20:B31" totalsRowCount="1" headerRowDxfId="192" dataDxfId="191" totalsRowDxfId="190">
  <tableColumns count="2">
    <tableColumn id="1" name="Capitais Permanentes" totalsRowLabel="Total dos Passivos Não Correntes ( 2 )" dataDxfId="189" totalsRowDxfId="188"/>
    <tableColumn id="2" name="Unidade: (10³€)" totalsRowFunction="custom" dataDxfId="187" totalsRowDxfId="186">
      <totalsRowFormula>SUM(B23:B30)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7.xml"/><Relationship Id="rId3" Type="http://schemas.openxmlformats.org/officeDocument/2006/relationships/vmlDrawing" Target="../drawings/vmlDrawing4.vml"/><Relationship Id="rId7" Type="http://schemas.openxmlformats.org/officeDocument/2006/relationships/table" Target="../tables/table2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Relationship Id="rId9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table" Target="../tables/table3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vmlDrawing" Target="../drawings/vmlDrawing6.vml"/><Relationship Id="rId7" Type="http://schemas.openxmlformats.org/officeDocument/2006/relationships/table" Target="../tables/table3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34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0.xml"/><Relationship Id="rId3" Type="http://schemas.openxmlformats.org/officeDocument/2006/relationships/vmlDrawing" Target="../drawings/vmlDrawing7.vml"/><Relationship Id="rId7" Type="http://schemas.openxmlformats.org/officeDocument/2006/relationships/table" Target="../tables/table3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38.xml"/><Relationship Id="rId5" Type="http://schemas.openxmlformats.org/officeDocument/2006/relationships/table" Target="../tables/table37.xml"/><Relationship Id="rId4" Type="http://schemas.openxmlformats.org/officeDocument/2006/relationships/table" Target="../tables/table36.xml"/><Relationship Id="rId9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table" Target="../tables/table1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2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4"/>
  <sheetViews>
    <sheetView showGridLines="0" showRowColHeaders="0" tabSelected="1" zoomScaleNormal="100" workbookViewId="0">
      <selection activeCell="E5" sqref="E5:G5"/>
    </sheetView>
  </sheetViews>
  <sheetFormatPr defaultRowHeight="15" x14ac:dyDescent="0.25"/>
  <cols>
    <col min="3" max="3" width="12.140625" customWidth="1"/>
    <col min="5" max="5" width="11.42578125" customWidth="1"/>
    <col min="7" max="7" width="12.85546875" customWidth="1"/>
  </cols>
  <sheetData>
    <row r="5" spans="1:12" x14ac:dyDescent="0.25">
      <c r="E5" s="148" t="s">
        <v>76</v>
      </c>
      <c r="F5" s="148"/>
      <c r="G5" s="148"/>
    </row>
    <row r="6" spans="1:12" x14ac:dyDescent="0.25">
      <c r="A6" s="151" t="s">
        <v>75</v>
      </c>
      <c r="B6" s="151"/>
      <c r="C6" s="151"/>
    </row>
    <row r="7" spans="1:12" x14ac:dyDescent="0.25">
      <c r="A7" s="151"/>
      <c r="B7" s="151"/>
      <c r="C7" s="151"/>
      <c r="E7" s="148" t="s">
        <v>77</v>
      </c>
      <c r="F7" s="148"/>
      <c r="G7" s="148"/>
    </row>
    <row r="9" spans="1:12" x14ac:dyDescent="0.25">
      <c r="E9" s="149" t="s">
        <v>104</v>
      </c>
      <c r="F9" s="149"/>
      <c r="G9" s="149"/>
    </row>
    <row r="10" spans="1:12" x14ac:dyDescent="0.25">
      <c r="C10" s="8" t="s">
        <v>118</v>
      </c>
    </row>
    <row r="11" spans="1:12" x14ac:dyDescent="0.25">
      <c r="E11" s="149" t="s">
        <v>105</v>
      </c>
      <c r="F11" s="149"/>
      <c r="G11" s="149"/>
    </row>
    <row r="12" spans="1:12" x14ac:dyDescent="0.25">
      <c r="A12" s="8" t="s">
        <v>78</v>
      </c>
    </row>
    <row r="13" spans="1:12" x14ac:dyDescent="0.25">
      <c r="E13" s="149" t="s">
        <v>119</v>
      </c>
      <c r="F13" s="149"/>
      <c r="G13" s="149"/>
    </row>
    <row r="14" spans="1:12" x14ac:dyDescent="0.25">
      <c r="J14" s="150" t="s">
        <v>136</v>
      </c>
      <c r="K14" s="150"/>
      <c r="L14" s="150"/>
    </row>
    <row r="15" spans="1:12" x14ac:dyDescent="0.25">
      <c r="G15" s="150" t="s">
        <v>121</v>
      </c>
      <c r="H15" s="150"/>
    </row>
    <row r="16" spans="1:12" x14ac:dyDescent="0.25">
      <c r="E16" s="9" t="s">
        <v>104</v>
      </c>
      <c r="J16" s="150" t="s">
        <v>135</v>
      </c>
      <c r="K16" s="150"/>
      <c r="L16" s="154"/>
    </row>
    <row r="17" spans="3:12" x14ac:dyDescent="0.25">
      <c r="C17" s="8" t="s">
        <v>120</v>
      </c>
      <c r="G17" s="152" t="s">
        <v>122</v>
      </c>
      <c r="H17" s="152"/>
    </row>
    <row r="18" spans="3:12" x14ac:dyDescent="0.25">
      <c r="J18" s="150" t="s">
        <v>126</v>
      </c>
      <c r="K18" s="150"/>
      <c r="L18" s="155"/>
    </row>
    <row r="19" spans="3:12" x14ac:dyDescent="0.25">
      <c r="G19" s="150" t="s">
        <v>121</v>
      </c>
      <c r="H19" s="150"/>
    </row>
    <row r="20" spans="3:12" x14ac:dyDescent="0.25">
      <c r="E20" s="9" t="s">
        <v>105</v>
      </c>
      <c r="G20" s="1"/>
      <c r="H20" s="1"/>
      <c r="J20" s="150" t="s">
        <v>135</v>
      </c>
      <c r="K20" s="150"/>
    </row>
    <row r="21" spans="3:12" x14ac:dyDescent="0.25">
      <c r="G21" s="153" t="s">
        <v>122</v>
      </c>
      <c r="H21" s="153"/>
    </row>
    <row r="22" spans="3:12" x14ac:dyDescent="0.25">
      <c r="C22" s="156" t="s">
        <v>217</v>
      </c>
      <c r="D22" s="156"/>
      <c r="E22" s="156"/>
      <c r="J22" s="150" t="s">
        <v>126</v>
      </c>
      <c r="K22" s="150"/>
    </row>
    <row r="24" spans="3:12" x14ac:dyDescent="0.25">
      <c r="D24" s="12"/>
    </row>
  </sheetData>
  <sheetProtection sheet="1" objects="1" scenarios="1" selectLockedCells="1"/>
  <mergeCells count="16">
    <mergeCell ref="J20:K20"/>
    <mergeCell ref="J22:K22"/>
    <mergeCell ref="A6:C7"/>
    <mergeCell ref="G17:H17"/>
    <mergeCell ref="G19:H19"/>
    <mergeCell ref="G21:H21"/>
    <mergeCell ref="J14:L14"/>
    <mergeCell ref="J16:L16"/>
    <mergeCell ref="J18:L18"/>
    <mergeCell ref="C22:E22"/>
    <mergeCell ref="E5:G5"/>
    <mergeCell ref="E7:G7"/>
    <mergeCell ref="E9:G9"/>
    <mergeCell ref="E11:G11"/>
    <mergeCell ref="G15:H15"/>
    <mergeCell ref="E13:G13"/>
  </mergeCells>
  <hyperlinks>
    <hyperlink ref="E5:G5" location="'Demonstração Resultados'!A1" display="Demonstração de Resultados"/>
    <hyperlink ref="E7:G7" location="Balanço!A1" display="Balanço"/>
    <hyperlink ref="E9:G9" location="'Modelo Património 2011'!A1" display="Ano de 2011"/>
    <hyperlink ref="E11:G11" location="'Modelo Património 2010'!A1" display="Ano de 2010"/>
    <hyperlink ref="E13:G13" location="'Variação Mod.Patrim.2011 e2010 '!A1" display="Variação do Modelo  de 2011/2010 "/>
    <hyperlink ref="G15:H15" location="'Mod. Rendimento 2011 opt invest'!A1" display="Optica do Investidor"/>
    <hyperlink ref="J16:K16" location="'Mod.Rend.2011 Opt.Entid.Buil-UP'!A1" display="Método Buil-Up"/>
    <hyperlink ref="J18:K18" location="'Mod.Rend.2011 Optic.Enti. MCAPM'!A1" display="Método MCAPM"/>
    <hyperlink ref="G19:H19" location="'Mod.Rendimento 2010 opt invest.'!A1" display="Optica do Investidor"/>
    <hyperlink ref="J20:K20" location="'Mod.Rend.2010 Optic.Ent.Buil-UP'!A1" display="Método Buil-Up"/>
    <hyperlink ref="J22:K22" location="'Mod.Rend.2010. Optic.Ent.MCAPM'!A1" display="Método MCAPM"/>
    <hyperlink ref="J14:L14" location="'Atualizaçao Cash flows'!A1" display="Atualização dos Cash-flows"/>
    <hyperlink ref="C22:E22" location="'Quadros Resumo 2011-2010'!A1" display="Quadro Resumo 2011/2010"/>
    <hyperlink ref="J18:L18" location="'Mod.Rend.2011 Optic.Enti. MCAPM'!A1" display="Método MCAPM"/>
  </hyperlinks>
  <pageMargins left="0.7" right="0.7" top="0.75" bottom="0.75" header="0.3" footer="0.3"/>
  <pageSetup paperSize="9" orientation="portrait" r:id="rId1"/>
  <drawing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5"/>
  <sheetViews>
    <sheetView showGridLines="0" workbookViewId="0">
      <selection activeCell="L24" sqref="L24"/>
    </sheetView>
  </sheetViews>
  <sheetFormatPr defaultRowHeight="15" x14ac:dyDescent="0.25"/>
  <cols>
    <col min="1" max="1" width="38.7109375" style="24" bestFit="1" customWidth="1"/>
    <col min="2" max="2" width="12.85546875" style="24" customWidth="1"/>
    <col min="3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5" spans="1:4" x14ac:dyDescent="0.25">
      <c r="A5" s="29" t="str">
        <f>'Mod.Rend.2011 Opt.Entid.Buil-UP'!A5</f>
        <v>Free Cash-flows</v>
      </c>
    </row>
    <row r="7" spans="1:4" x14ac:dyDescent="0.25">
      <c r="A7" s="26" t="s">
        <v>88</v>
      </c>
      <c r="B7" s="26" t="s">
        <v>85</v>
      </c>
    </row>
    <row r="8" spans="1:4" x14ac:dyDescent="0.25">
      <c r="A8" s="27" t="str">
        <f>Tabela1321[[#This Row],[Drescrição]]</f>
        <v>Raji x (1-t)</v>
      </c>
      <c r="B8" s="47">
        <f>Tabela1321[[#This Row],[Unidade: (10³ €)]]</f>
        <v>263276.9852608642</v>
      </c>
    </row>
    <row r="9" spans="1:4" x14ac:dyDescent="0.25">
      <c r="A9" s="27" t="s">
        <v>90</v>
      </c>
      <c r="B9" s="47">
        <f>'Demonstração Resultados'!C14</f>
        <v>225929</v>
      </c>
    </row>
    <row r="10" spans="1:4" x14ac:dyDescent="0.25">
      <c r="A10" s="27" t="s">
        <v>91</v>
      </c>
      <c r="B10" s="47">
        <f>'Mod. Rendimento 2011 opt invest'!B10</f>
        <v>-294000</v>
      </c>
    </row>
    <row r="11" spans="1:4" x14ac:dyDescent="0.25">
      <c r="A11" s="27" t="s">
        <v>212</v>
      </c>
      <c r="B11" s="47">
        <f>'Mod.Rend.2011 Opt.Entid.Buil-UP'!B11</f>
        <v>41475</v>
      </c>
    </row>
    <row r="12" spans="1:4" x14ac:dyDescent="0.25">
      <c r="A12" s="26" t="s">
        <v>93</v>
      </c>
      <c r="B12" s="133">
        <f>SUBTOTAL(109,Tabela132124[Unidade: (10³ €)])</f>
        <v>236680.9852608642</v>
      </c>
    </row>
    <row r="14" spans="1:4" x14ac:dyDescent="0.25">
      <c r="A14" s="185" t="str">
        <f>'Mod.Rend.2011 Opt.Entid.Buil-UP'!A14</f>
        <v>Determinação do Custo Médio do Capital Próprio (WACC)</v>
      </c>
      <c r="B14" s="186"/>
    </row>
    <row r="16" spans="1:4" x14ac:dyDescent="0.25">
      <c r="A16" s="26" t="s">
        <v>87</v>
      </c>
      <c r="B16" s="26" t="s">
        <v>98</v>
      </c>
    </row>
    <row r="17" spans="1:3" x14ac:dyDescent="0.25">
      <c r="A17" s="27" t="s">
        <v>149</v>
      </c>
      <c r="B17" s="121">
        <v>0.05</v>
      </c>
    </row>
    <row r="18" spans="1:3" x14ac:dyDescent="0.25">
      <c r="A18" s="27" t="s">
        <v>128</v>
      </c>
      <c r="B18" s="134">
        <f>B38</f>
        <v>1.08</v>
      </c>
    </row>
    <row r="19" spans="1:3" x14ac:dyDescent="0.25">
      <c r="A19" s="27" t="s">
        <v>129</v>
      </c>
      <c r="B19" s="121">
        <f>'Mod.Rend.2011 Opt.Entid.Buil-UP'!B18*'Mod.Rend.2011 Optic.Enti. MCAPM'!B18</f>
        <v>5.9292000000000011E-2</v>
      </c>
    </row>
    <row r="20" spans="1:3" x14ac:dyDescent="0.25">
      <c r="A20" s="27" t="str">
        <f>'Mod.Rend.2011 Opt.Entid.Buil-UP'!A19</f>
        <v>Prémio adicional de risco sobre as PME (PRd)</v>
      </c>
      <c r="B20" s="121">
        <f>'Mod.Rend.2011 Opt.Entid.Buil-UP'!B19</f>
        <v>0</v>
      </c>
    </row>
    <row r="21" spans="1:3" x14ac:dyDescent="0.25">
      <c r="A21" s="27" t="str">
        <f>'Mod.Rend.2011 Opt.Entid.Buil-UP'!A20</f>
        <v>Prémio adicional de risco específico (Pre)</v>
      </c>
      <c r="B21" s="121">
        <f>'Mod.Rend.2011 Opt.Entid.Buil-UP'!B20</f>
        <v>0.03</v>
      </c>
    </row>
    <row r="22" spans="1:3" x14ac:dyDescent="0.25">
      <c r="A22" s="26" t="s">
        <v>152</v>
      </c>
      <c r="B22" s="135">
        <f>B17+B19+B20+B21</f>
        <v>0.13929200000000003</v>
      </c>
    </row>
    <row r="23" spans="1:3" x14ac:dyDescent="0.25">
      <c r="A23" s="124" t="s">
        <v>107</v>
      </c>
      <c r="B23" s="125">
        <f>'Mod.Rend.2011 Opt.Entid.Buil-UP'!B22</f>
        <v>3.6648128372417238E-2</v>
      </c>
    </row>
    <row r="24" spans="1:3" ht="15.75" thickBot="1" x14ac:dyDescent="0.3">
      <c r="A24" s="80" t="s">
        <v>108</v>
      </c>
      <c r="B24" s="81">
        <f>B23*(1-'Demonstração Resultados'!B29)</f>
        <v>2.5881808375496324E-2</v>
      </c>
    </row>
    <row r="25" spans="1:3" ht="15.75" thickTop="1" x14ac:dyDescent="0.25">
      <c r="A25" s="82" t="s">
        <v>115</v>
      </c>
      <c r="B25" s="126">
        <f>C29</f>
        <v>0.85161276434640898</v>
      </c>
    </row>
    <row r="27" spans="1:3" x14ac:dyDescent="0.25">
      <c r="A27" s="26" t="s">
        <v>111</v>
      </c>
      <c r="B27" s="26" t="s">
        <v>85</v>
      </c>
      <c r="C27" s="26" t="s">
        <v>98</v>
      </c>
    </row>
    <row r="28" spans="1:3" x14ac:dyDescent="0.25">
      <c r="A28" s="27" t="s">
        <v>74</v>
      </c>
      <c r="B28" s="47">
        <f>Tabela132124[[#Totals],[Unidade: (10³ €)]]/D42</f>
        <v>2580742.2011655145</v>
      </c>
      <c r="C28" s="127">
        <f>C29+C30</f>
        <v>1</v>
      </c>
    </row>
    <row r="29" spans="1:3" x14ac:dyDescent="0.25">
      <c r="A29" s="27" t="s">
        <v>110</v>
      </c>
      <c r="B29" s="47">
        <f>Balanço!C47</f>
        <v>2197793</v>
      </c>
      <c r="C29" s="127">
        <f>Tabela2529[[#This Row],[Unidade: (10³ €)]]/B28</f>
        <v>0.85161276434640898</v>
      </c>
    </row>
    <row r="30" spans="1:3" x14ac:dyDescent="0.25">
      <c r="A30" s="27" t="s">
        <v>112</v>
      </c>
      <c r="B30" s="47">
        <f>B28-B29</f>
        <v>382949.20116551453</v>
      </c>
      <c r="C30" s="127">
        <f>Tabela2529[[#This Row],[Unidade: (10³ €)]]/B28</f>
        <v>0.14838723565359108</v>
      </c>
    </row>
    <row r="31" spans="1:3" ht="15.75" thickBot="1" x14ac:dyDescent="0.3">
      <c r="A31" s="26" t="s">
        <v>113</v>
      </c>
      <c r="B31" s="26"/>
      <c r="C31" s="135">
        <f>C30</f>
        <v>0.14838723565359108</v>
      </c>
    </row>
    <row r="32" spans="1:3" ht="15.75" thickTop="1" x14ac:dyDescent="0.25">
      <c r="A32" s="82" t="s">
        <v>116</v>
      </c>
      <c r="B32" s="82"/>
      <c r="C32" s="126">
        <f>Tabela142325[[#Totals],[Valor em %]]*Tabela2529[[#Totals],[Valor em %]]+B24*B25</f>
        <v>4.2710433205600473E-2</v>
      </c>
    </row>
    <row r="34" spans="1:4" x14ac:dyDescent="0.25">
      <c r="A34" s="182" t="s">
        <v>132</v>
      </c>
      <c r="B34" s="182"/>
    </row>
    <row r="36" spans="1:4" x14ac:dyDescent="0.25">
      <c r="A36" s="52" t="s">
        <v>87</v>
      </c>
      <c r="B36" s="52" t="s">
        <v>98</v>
      </c>
    </row>
    <row r="37" spans="1:4" x14ac:dyDescent="0.25">
      <c r="A37" s="24" t="s">
        <v>133</v>
      </c>
      <c r="B37" s="136">
        <f>B38/(1+(B29/B30)*(1-'Demonstração Resultados'!B29))</f>
        <v>0.2137297447789232</v>
      </c>
    </row>
    <row r="38" spans="1:4" x14ac:dyDescent="0.25">
      <c r="A38" s="24" t="s">
        <v>134</v>
      </c>
      <c r="B38" s="137">
        <v>1.08</v>
      </c>
    </row>
    <row r="40" spans="1:4" x14ac:dyDescent="0.25">
      <c r="A40" s="26" t="s">
        <v>87</v>
      </c>
      <c r="B40" s="26" t="s">
        <v>98</v>
      </c>
    </row>
    <row r="41" spans="1:4" ht="15.75" thickBot="1" x14ac:dyDescent="0.3">
      <c r="A41" s="27" t="s">
        <v>99</v>
      </c>
      <c r="B41" s="121">
        <f>Tabela19[Valor em %]</f>
        <v>-4.9000000000000002E-2</v>
      </c>
    </row>
    <row r="42" spans="1:4" ht="15.75" thickTop="1" x14ac:dyDescent="0.25">
      <c r="A42" s="82" t="s">
        <v>117</v>
      </c>
      <c r="B42" s="129">
        <f>C32-B41</f>
        <v>9.1710433205600475E-2</v>
      </c>
      <c r="D42" s="131">
        <v>9.1710433205600447E-2</v>
      </c>
    </row>
    <row r="43" spans="1:4" x14ac:dyDescent="0.25">
      <c r="C43" s="24" t="s">
        <v>186</v>
      </c>
      <c r="D43" s="138">
        <f>B42-D42</f>
        <v>0</v>
      </c>
    </row>
    <row r="44" spans="1:4" x14ac:dyDescent="0.25">
      <c r="C44" s="24" t="s">
        <v>189</v>
      </c>
    </row>
    <row r="45" spans="1:4" x14ac:dyDescent="0.25">
      <c r="C45" s="24" t="s">
        <v>190</v>
      </c>
    </row>
  </sheetData>
  <sheetProtection password="D4C8" sheet="1" objects="1" scenarios="1"/>
  <mergeCells count="3">
    <mergeCell ref="A1:D1"/>
    <mergeCell ref="A14:B14"/>
    <mergeCell ref="A34:B34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L24" sqref="L24"/>
    </sheetView>
  </sheetViews>
  <sheetFormatPr defaultRowHeight="15" x14ac:dyDescent="0.25"/>
  <cols>
    <col min="1" max="1" width="39.28515625" style="24" customWidth="1"/>
    <col min="2" max="2" width="14.140625" style="24" customWidth="1"/>
    <col min="3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5" spans="1:4" x14ac:dyDescent="0.25">
      <c r="A5" s="182" t="s">
        <v>94</v>
      </c>
      <c r="B5" s="186"/>
    </row>
    <row r="6" spans="1:4" x14ac:dyDescent="0.25">
      <c r="A6" s="27"/>
      <c r="B6" s="27"/>
    </row>
    <row r="7" spans="1:4" x14ac:dyDescent="0.25">
      <c r="A7" s="26" t="s">
        <v>88</v>
      </c>
      <c r="B7" s="26" t="s">
        <v>85</v>
      </c>
    </row>
    <row r="8" spans="1:4" x14ac:dyDescent="0.25">
      <c r="A8" s="27" t="str">
        <f>'Demonstração Resultados'!A25</f>
        <v>Resultado Liquido do Exercicio</v>
      </c>
      <c r="B8" s="47">
        <f>'Demonstração Resultados'!D25</f>
        <v>251707</v>
      </c>
    </row>
    <row r="9" spans="1:4" x14ac:dyDescent="0.25">
      <c r="A9" s="27" t="s">
        <v>90</v>
      </c>
      <c r="B9" s="47">
        <f>'Demonstração Resultados'!D14</f>
        <v>216387</v>
      </c>
    </row>
    <row r="10" spans="1:4" x14ac:dyDescent="0.25">
      <c r="A10" s="27" t="s">
        <v>91</v>
      </c>
      <c r="B10" s="47">
        <v>-163800</v>
      </c>
    </row>
    <row r="11" spans="1:4" x14ac:dyDescent="0.25">
      <c r="A11" s="27" t="s">
        <v>92</v>
      </c>
      <c r="B11" s="47">
        <f>-'Modelo Património 2010'!B47+'Modelo Património 2010'!B86</f>
        <v>-71791</v>
      </c>
    </row>
    <row r="12" spans="1:4" x14ac:dyDescent="0.25">
      <c r="A12" s="26" t="s">
        <v>93</v>
      </c>
      <c r="B12" s="133">
        <f>SUBTOTAL(109,Tabela1331[Unidade: (10³ €)])</f>
        <v>232503</v>
      </c>
    </row>
    <row r="13" spans="1:4" x14ac:dyDescent="0.25">
      <c r="A13" s="27"/>
      <c r="B13" s="27"/>
    </row>
    <row r="14" spans="1:4" x14ac:dyDescent="0.25">
      <c r="A14" s="182" t="s">
        <v>127</v>
      </c>
      <c r="B14" s="186"/>
    </row>
    <row r="15" spans="1:4" x14ac:dyDescent="0.25">
      <c r="A15" s="27"/>
      <c r="B15" s="27"/>
    </row>
    <row r="16" spans="1:4" x14ac:dyDescent="0.25">
      <c r="A16" s="26" t="s">
        <v>87</v>
      </c>
      <c r="B16" s="26" t="s">
        <v>98</v>
      </c>
    </row>
    <row r="17" spans="1:2" x14ac:dyDescent="0.25">
      <c r="A17" s="27" t="s">
        <v>72</v>
      </c>
      <c r="B17" s="121">
        <v>0.05</v>
      </c>
    </row>
    <row r="18" spans="1:2" x14ac:dyDescent="0.25">
      <c r="A18" s="27" t="s">
        <v>95</v>
      </c>
      <c r="B18" s="121">
        <f>9.06%-3.57%</f>
        <v>5.4900000000000004E-2</v>
      </c>
    </row>
    <row r="19" spans="1:2" x14ac:dyDescent="0.25">
      <c r="A19" s="27" t="s">
        <v>96</v>
      </c>
      <c r="B19" s="121">
        <v>0</v>
      </c>
    </row>
    <row r="20" spans="1:2" x14ac:dyDescent="0.25">
      <c r="A20" s="27" t="s">
        <v>97</v>
      </c>
      <c r="B20" s="121">
        <v>0.03</v>
      </c>
    </row>
    <row r="21" spans="1:2" x14ac:dyDescent="0.25">
      <c r="A21" s="26" t="s">
        <v>102</v>
      </c>
      <c r="B21" s="85">
        <f>SUBTOTAL(109,Tabela1432[Valor em %])</f>
        <v>0.13490000000000002</v>
      </c>
    </row>
    <row r="23" spans="1:2" x14ac:dyDescent="0.25">
      <c r="A23" s="52" t="s">
        <v>87</v>
      </c>
      <c r="B23" s="52" t="s">
        <v>98</v>
      </c>
    </row>
    <row r="24" spans="1:2" x14ac:dyDescent="0.25">
      <c r="A24" s="27" t="s">
        <v>99</v>
      </c>
      <c r="B24" s="122">
        <v>-4.9000000000000002E-2</v>
      </c>
    </row>
    <row r="26" spans="1:2" x14ac:dyDescent="0.25">
      <c r="A26" s="185" t="s">
        <v>100</v>
      </c>
      <c r="B26" s="186"/>
    </row>
    <row r="28" spans="1:2" x14ac:dyDescent="0.25">
      <c r="A28" s="52" t="s">
        <v>87</v>
      </c>
      <c r="B28" s="52" t="s">
        <v>89</v>
      </c>
    </row>
    <row r="29" spans="1:2" x14ac:dyDescent="0.25">
      <c r="A29" s="24" t="str">
        <f>Balanço!A27</f>
        <v>Capital Próprio</v>
      </c>
      <c r="B29" s="109">
        <f>Tabela1331[[#Totals],[Unidade: (10³ €)]]/(Tabela1432[[#Totals],[Valor em %]]-Tabela1933[Valor em %])</f>
        <v>1264290.3752039152</v>
      </c>
    </row>
    <row r="30" spans="1:2" x14ac:dyDescent="0.25">
      <c r="A30" s="24" t="s">
        <v>73</v>
      </c>
      <c r="B30" s="109">
        <f>Balanço!D58</f>
        <v>3154649</v>
      </c>
    </row>
    <row r="31" spans="1:2" x14ac:dyDescent="0.25">
      <c r="A31" s="52" t="s">
        <v>101</v>
      </c>
      <c r="B31" s="53">
        <f>SUBTOTAL(109,Tabela2034[Unidade: (10³ €)])</f>
        <v>4418939.3752039149</v>
      </c>
    </row>
  </sheetData>
  <sheetProtection password="D4C8" sheet="1" objects="1" scenarios="1"/>
  <mergeCells count="4">
    <mergeCell ref="A1:D1"/>
    <mergeCell ref="A5:B5"/>
    <mergeCell ref="A14:B14"/>
    <mergeCell ref="A26:B26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verticalDpi="0" r:id="rId1"/>
  <drawing r:id="rId2"/>
  <legacyDrawing r:id="rId3"/>
  <tableParts count="4">
    <tablePart r:id="rId4"/>
    <tablePart r:id="rId5"/>
    <tablePart r:id="rId6"/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showGridLines="0" workbookViewId="0">
      <selection activeCell="P24" sqref="P24"/>
    </sheetView>
  </sheetViews>
  <sheetFormatPr defaultRowHeight="15" x14ac:dyDescent="0.25"/>
  <cols>
    <col min="1" max="1" width="37.85546875" style="24" customWidth="1"/>
    <col min="2" max="2" width="14.28515625" style="24" customWidth="1"/>
    <col min="3" max="3" width="11.28515625" style="24" customWidth="1"/>
    <col min="4" max="16384" width="9.140625" style="24"/>
  </cols>
  <sheetData>
    <row r="1" spans="1:4" x14ac:dyDescent="0.25">
      <c r="A1" s="187" t="s">
        <v>79</v>
      </c>
      <c r="B1" s="187"/>
      <c r="C1" s="187"/>
      <c r="D1" s="187"/>
    </row>
    <row r="6" spans="1:4" x14ac:dyDescent="0.25">
      <c r="A6" s="182" t="s">
        <v>94</v>
      </c>
      <c r="B6" s="186"/>
    </row>
    <row r="8" spans="1:4" x14ac:dyDescent="0.25">
      <c r="A8" s="26" t="s">
        <v>88</v>
      </c>
      <c r="B8" s="26" t="s">
        <v>85</v>
      </c>
    </row>
    <row r="9" spans="1:4" x14ac:dyDescent="0.25">
      <c r="A9" s="27" t="str">
        <f>'Mod.Rend.2011 Optic.Enti. MCAPM'!A8</f>
        <v>Raji x (1-t)</v>
      </c>
      <c r="B9" s="47">
        <f>'Demonstração Resultados'!D19*(1-'Demonstração Resultados'!B30)</f>
        <v>295514.00601759652</v>
      </c>
    </row>
    <row r="10" spans="1:4" x14ac:dyDescent="0.25">
      <c r="A10" s="27" t="s">
        <v>90</v>
      </c>
      <c r="B10" s="47">
        <f>'Demonstração Resultados'!D14</f>
        <v>216387</v>
      </c>
    </row>
    <row r="11" spans="1:4" x14ac:dyDescent="0.25">
      <c r="A11" s="27" t="s">
        <v>91</v>
      </c>
      <c r="B11" s="47">
        <f>'Mod.Rendimento 2010 opt invest.'!B10</f>
        <v>-163800</v>
      </c>
    </row>
    <row r="12" spans="1:4" x14ac:dyDescent="0.25">
      <c r="A12" s="27" t="s">
        <v>92</v>
      </c>
      <c r="B12" s="47">
        <f>-'Modelo Património 2010'!B47+'Modelo Património 2010'!B86</f>
        <v>-71791</v>
      </c>
    </row>
    <row r="13" spans="1:4" x14ac:dyDescent="0.25">
      <c r="A13" s="26" t="s">
        <v>93</v>
      </c>
      <c r="B13" s="133">
        <f>SUBTOTAL(109,Tabela132135[Unidade: (10³ €)])</f>
        <v>276310.00601759652</v>
      </c>
    </row>
    <row r="15" spans="1:4" x14ac:dyDescent="0.25">
      <c r="A15" s="185" t="str">
        <f>'Mod.Rendimento 2010 opt invest.'!A14</f>
        <v>Determinação do Custo do Capital Próprio (WACC)</v>
      </c>
      <c r="B15" s="186"/>
    </row>
    <row r="17" spans="1:7" x14ac:dyDescent="0.25">
      <c r="A17" s="26" t="s">
        <v>87</v>
      </c>
      <c r="B17" s="26" t="s">
        <v>98</v>
      </c>
    </row>
    <row r="18" spans="1:7" x14ac:dyDescent="0.25">
      <c r="A18" s="27" t="s">
        <v>72</v>
      </c>
      <c r="B18" s="121">
        <v>0.05</v>
      </c>
    </row>
    <row r="19" spans="1:7" x14ac:dyDescent="0.25">
      <c r="A19" s="27" t="s">
        <v>95</v>
      </c>
      <c r="B19" s="121">
        <f>9.06%-3.57%</f>
        <v>5.4900000000000004E-2</v>
      </c>
    </row>
    <row r="20" spans="1:7" x14ac:dyDescent="0.25">
      <c r="A20" s="27" t="s">
        <v>130</v>
      </c>
      <c r="B20" s="121">
        <v>0</v>
      </c>
    </row>
    <row r="21" spans="1:7" x14ac:dyDescent="0.25">
      <c r="A21" s="27" t="s">
        <v>131</v>
      </c>
      <c r="B21" s="121">
        <v>0.03</v>
      </c>
    </row>
    <row r="22" spans="1:7" x14ac:dyDescent="0.25">
      <c r="A22" s="26" t="s">
        <v>109</v>
      </c>
      <c r="B22" s="85">
        <f>SUBTOTAL(109,Tabela142336[Valor em %])</f>
        <v>0.13490000000000002</v>
      </c>
      <c r="D22" s="24">
        <v>1</v>
      </c>
      <c r="G22" s="24" t="s">
        <v>114</v>
      </c>
    </row>
    <row r="23" spans="1:7" x14ac:dyDescent="0.25">
      <c r="A23" s="124" t="s">
        <v>107</v>
      </c>
      <c r="B23" s="125">
        <f>-'Demonstração Resultados'!D20/Balanço!D47</f>
        <v>2.5798243202239869E-2</v>
      </c>
      <c r="C23" s="27"/>
    </row>
    <row r="24" spans="1:7" ht="15.75" thickBot="1" x14ac:dyDescent="0.3">
      <c r="A24" s="80" t="s">
        <v>108</v>
      </c>
      <c r="B24" s="81">
        <f>B23*(1-'Demonstração Resultados'!B30)</f>
        <v>1.8634170311199533E-2</v>
      </c>
      <c r="C24" s="27"/>
      <c r="D24" s="24">
        <v>3</v>
      </c>
    </row>
    <row r="25" spans="1:7" ht="15.75" thickTop="1" x14ac:dyDescent="0.25">
      <c r="A25" s="82" t="s">
        <v>115</v>
      </c>
      <c r="B25" s="126">
        <f>C29</f>
        <v>0.68721867813417803</v>
      </c>
      <c r="D25" s="24">
        <v>4</v>
      </c>
    </row>
    <row r="27" spans="1:7" x14ac:dyDescent="0.25">
      <c r="A27" s="26" t="s">
        <v>111</v>
      </c>
      <c r="B27" s="26" t="s">
        <v>85</v>
      </c>
      <c r="C27" s="26" t="s">
        <v>98</v>
      </c>
    </row>
    <row r="28" spans="1:7" x14ac:dyDescent="0.25">
      <c r="A28" s="27" t="s">
        <v>74</v>
      </c>
      <c r="B28" s="47">
        <f>Tabela132135[[#Totals],[Unidade: (10³ €)]]/D36</f>
        <v>2656828.2529182248</v>
      </c>
      <c r="C28" s="127">
        <f>C29+C30</f>
        <v>1</v>
      </c>
    </row>
    <row r="29" spans="1:7" x14ac:dyDescent="0.25">
      <c r="A29" s="27" t="s">
        <v>110</v>
      </c>
      <c r="B29" s="47">
        <f>Balanço!D47</f>
        <v>1825822</v>
      </c>
      <c r="C29" s="127">
        <f>Tabela2537[[#This Row],[Unidade: (10³ €)]]/B28</f>
        <v>0.68721867813417803</v>
      </c>
    </row>
    <row r="30" spans="1:7" x14ac:dyDescent="0.25">
      <c r="A30" s="27" t="s">
        <v>112</v>
      </c>
      <c r="B30" s="47">
        <f>B28-B29</f>
        <v>831006.25291822478</v>
      </c>
      <c r="C30" s="127">
        <f>Tabela2537[[#This Row],[Unidade: (10³ €)]]/B28</f>
        <v>0.31278132186582197</v>
      </c>
    </row>
    <row r="31" spans="1:7" ht="15.75" thickBot="1" x14ac:dyDescent="0.3">
      <c r="A31" s="26" t="s">
        <v>113</v>
      </c>
      <c r="B31" s="26"/>
      <c r="C31" s="72">
        <f>C30</f>
        <v>0.31278132186582197</v>
      </c>
      <c r="E31" s="24">
        <v>2</v>
      </c>
    </row>
    <row r="32" spans="1:7" ht="15.75" thickTop="1" x14ac:dyDescent="0.25">
      <c r="A32" s="82" t="s">
        <v>116</v>
      </c>
      <c r="B32" s="82"/>
      <c r="C32" s="126">
        <f>Tabela142336[[#Totals],[Valor em %]]*Tabela2537[[#Totals],[Valor em %]]+B24*B25</f>
        <v>5.4999950209089085E-2</v>
      </c>
    </row>
    <row r="34" spans="1:4" x14ac:dyDescent="0.25">
      <c r="A34" s="26" t="s">
        <v>87</v>
      </c>
      <c r="B34" s="26" t="s">
        <v>98</v>
      </c>
    </row>
    <row r="35" spans="1:4" ht="15.75" thickBot="1" x14ac:dyDescent="0.3">
      <c r="A35" s="27" t="s">
        <v>99</v>
      </c>
      <c r="B35" s="121">
        <f>Tabela1933[Valor em %]</f>
        <v>-4.9000000000000002E-2</v>
      </c>
    </row>
    <row r="36" spans="1:4" ht="15.75" thickTop="1" x14ac:dyDescent="0.25">
      <c r="A36" s="82" t="s">
        <v>117</v>
      </c>
      <c r="B36" s="129">
        <f>C32-B35</f>
        <v>0.10399995020908909</v>
      </c>
      <c r="C36" s="130"/>
      <c r="D36" s="131">
        <v>0.10399995020908909</v>
      </c>
    </row>
    <row r="37" spans="1:4" x14ac:dyDescent="0.25">
      <c r="C37" s="24" t="s">
        <v>192</v>
      </c>
      <c r="D37" s="138">
        <f>B36-D36</f>
        <v>0</v>
      </c>
    </row>
    <row r="38" spans="1:4" x14ac:dyDescent="0.25">
      <c r="B38" s="24" t="s">
        <v>193</v>
      </c>
    </row>
  </sheetData>
  <sheetProtection password="D4C8" sheet="1" objects="1" scenarios="1"/>
  <mergeCells count="3">
    <mergeCell ref="A1:D1"/>
    <mergeCell ref="A15:B15"/>
    <mergeCell ref="A6:B6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4">
    <tablePart r:id="rId4"/>
    <tablePart r:id="rId5"/>
    <tablePart r:id="rId6"/>
    <tablePart r:id="rId7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N24" sqref="N24"/>
    </sheetView>
  </sheetViews>
  <sheetFormatPr defaultRowHeight="15" x14ac:dyDescent="0.25"/>
  <cols>
    <col min="1" max="1" width="40.28515625" style="24" bestFit="1" customWidth="1"/>
    <col min="2" max="2" width="13.140625" style="24" customWidth="1"/>
    <col min="3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6" spans="1:4" x14ac:dyDescent="0.25">
      <c r="A6" s="182" t="str">
        <f>'Mod.Rend.2010 Optic.Ent.Buil-UP'!A6:B6</f>
        <v>Free Cash-flows</v>
      </c>
      <c r="B6" s="186"/>
    </row>
    <row r="8" spans="1:4" x14ac:dyDescent="0.25">
      <c r="A8" s="26" t="s">
        <v>88</v>
      </c>
      <c r="B8" s="26" t="s">
        <v>85</v>
      </c>
    </row>
    <row r="9" spans="1:4" x14ac:dyDescent="0.25">
      <c r="A9" s="27" t="str">
        <f>Tabela132135[[#This Row],[Drescrição]]</f>
        <v>Raji x (1-t)</v>
      </c>
      <c r="B9" s="47">
        <f>Tabela132135[[#This Row],[Unidade: (10³ €)]]</f>
        <v>295514.00601759652</v>
      </c>
    </row>
    <row r="10" spans="1:4" x14ac:dyDescent="0.25">
      <c r="A10" s="27" t="s">
        <v>90</v>
      </c>
      <c r="B10" s="47">
        <f>'Demonstração Resultados'!D14</f>
        <v>216387</v>
      </c>
    </row>
    <row r="11" spans="1:4" x14ac:dyDescent="0.25">
      <c r="A11" s="27" t="s">
        <v>91</v>
      </c>
      <c r="B11" s="47">
        <f>Tabela132135[[#This Row],[Unidade: (10³ €)]]</f>
        <v>-163800</v>
      </c>
    </row>
    <row r="12" spans="1:4" x14ac:dyDescent="0.25">
      <c r="A12" s="27" t="s">
        <v>92</v>
      </c>
      <c r="B12" s="47">
        <f>Tabela132135[[#This Row],[Unidade: (10³ €)]]</f>
        <v>-71791</v>
      </c>
    </row>
    <row r="13" spans="1:4" x14ac:dyDescent="0.25">
      <c r="A13" s="26" t="s">
        <v>93</v>
      </c>
      <c r="B13" s="133">
        <f>SUBTOTAL(109,Tabela13212439[Unidade: (10³ €)])</f>
        <v>276310.00601759652</v>
      </c>
    </row>
    <row r="15" spans="1:4" x14ac:dyDescent="0.25">
      <c r="A15" s="185" t="str">
        <f>'Mod.Rend.2010 Optic.Ent.Buil-UP'!A15:B15</f>
        <v>Determinação do Custo do Capital Próprio (WACC)</v>
      </c>
      <c r="B15" s="186"/>
    </row>
    <row r="17" spans="1:7" x14ac:dyDescent="0.25">
      <c r="A17" s="26" t="s">
        <v>87</v>
      </c>
      <c r="B17" s="26" t="s">
        <v>98</v>
      </c>
    </row>
    <row r="18" spans="1:7" x14ac:dyDescent="0.25">
      <c r="A18" s="27" t="s">
        <v>72</v>
      </c>
      <c r="B18" s="121">
        <v>0.05</v>
      </c>
    </row>
    <row r="19" spans="1:7" x14ac:dyDescent="0.25">
      <c r="A19" s="27" t="s">
        <v>128</v>
      </c>
      <c r="B19" s="134">
        <v>1.08</v>
      </c>
    </row>
    <row r="20" spans="1:7" x14ac:dyDescent="0.25">
      <c r="A20" s="27" t="s">
        <v>129</v>
      </c>
      <c r="B20" s="121">
        <f>'Mod.Rend.2010 Optic.Ent.Buil-UP'!B19*'Mod.Rend.2010. Optic.Ent.MCAPM'!B19</f>
        <v>5.9292000000000011E-2</v>
      </c>
    </row>
    <row r="21" spans="1:7" x14ac:dyDescent="0.25">
      <c r="A21" s="27" t="str">
        <f>'Mod.Rend.2010 Optic.Ent.Buil-UP'!A20</f>
        <v>Prémio adicional de risco sobre as PME (PRd)</v>
      </c>
      <c r="B21" s="121">
        <v>0</v>
      </c>
    </row>
    <row r="22" spans="1:7" x14ac:dyDescent="0.25">
      <c r="A22" s="27" t="str">
        <f>'Mod.Rend.2010 Optic.Ent.Buil-UP'!A21</f>
        <v>Prémio adicional de risco específico (Pre)</v>
      </c>
      <c r="B22" s="121">
        <v>0.03</v>
      </c>
    </row>
    <row r="23" spans="1:7" x14ac:dyDescent="0.25">
      <c r="A23" s="26" t="s">
        <v>109</v>
      </c>
      <c r="B23" s="135">
        <f>B18+B20+B21+B22</f>
        <v>0.13929200000000003</v>
      </c>
      <c r="D23" s="24">
        <v>1</v>
      </c>
      <c r="G23" s="24" t="s">
        <v>114</v>
      </c>
    </row>
    <row r="24" spans="1:7" x14ac:dyDescent="0.25">
      <c r="A24" s="124" t="s">
        <v>107</v>
      </c>
      <c r="B24" s="125">
        <f>'Mod.Rend.2010 Optic.Ent.Buil-UP'!B23</f>
        <v>2.5798243202239869E-2</v>
      </c>
    </row>
    <row r="25" spans="1:7" ht="15.75" thickBot="1" x14ac:dyDescent="0.3">
      <c r="A25" s="80" t="s">
        <v>108</v>
      </c>
      <c r="B25" s="81">
        <f>B24*(1-'Demonstração Resultados'!B30)</f>
        <v>1.8634170311199533E-2</v>
      </c>
      <c r="D25" s="24">
        <v>3</v>
      </c>
    </row>
    <row r="26" spans="1:7" ht="15.75" thickTop="1" x14ac:dyDescent="0.25">
      <c r="A26" s="82" t="s">
        <v>115</v>
      </c>
      <c r="B26" s="126">
        <f>C30</f>
        <v>0.69226931747313281</v>
      </c>
      <c r="D26" s="24">
        <v>4</v>
      </c>
    </row>
    <row r="28" spans="1:7" x14ac:dyDescent="0.25">
      <c r="A28" s="26" t="s">
        <v>111</v>
      </c>
      <c r="B28" s="26" t="s">
        <v>85</v>
      </c>
      <c r="C28" s="26" t="s">
        <v>98</v>
      </c>
    </row>
    <row r="29" spans="1:7" x14ac:dyDescent="0.25">
      <c r="A29" s="27" t="s">
        <v>74</v>
      </c>
      <c r="B29" s="47">
        <f>Tabela13212439[[#Totals],[Unidade: (10³ €)]]/D43</f>
        <v>2637444.6388357528</v>
      </c>
      <c r="C29" s="127">
        <f>C30+C31</f>
        <v>1</v>
      </c>
    </row>
    <row r="30" spans="1:7" x14ac:dyDescent="0.25">
      <c r="A30" s="27" t="s">
        <v>110</v>
      </c>
      <c r="B30" s="47">
        <f>'Mod.Rend.2010 Optic.Ent.Buil-UP'!B29</f>
        <v>1825822</v>
      </c>
      <c r="C30" s="127">
        <f>Tabela252942[[#This Row],[Unidade: (10³ €)]]/B29</f>
        <v>0.69226931747313281</v>
      </c>
    </row>
    <row r="31" spans="1:7" x14ac:dyDescent="0.25">
      <c r="A31" s="27" t="s">
        <v>112</v>
      </c>
      <c r="B31" s="47">
        <f>B29-B30</f>
        <v>811622.63883575285</v>
      </c>
      <c r="C31" s="127">
        <f>Tabela252942[[#This Row],[Unidade: (10³ €)]]/B29</f>
        <v>0.30773068252686714</v>
      </c>
    </row>
    <row r="32" spans="1:7" ht="15.75" thickBot="1" x14ac:dyDescent="0.3">
      <c r="A32" s="26" t="s">
        <v>113</v>
      </c>
      <c r="B32" s="26"/>
      <c r="C32" s="135">
        <f>C31</f>
        <v>0.30773068252686714</v>
      </c>
      <c r="E32" s="24">
        <v>2</v>
      </c>
    </row>
    <row r="33" spans="1:4" ht="15.75" thickTop="1" x14ac:dyDescent="0.25">
      <c r="A33" s="82" t="s">
        <v>116</v>
      </c>
      <c r="B33" s="82"/>
      <c r="C33" s="126">
        <f>Tabela14232540[[#Totals],[Valor em %]]*Tabela252942[[#Totals],[Valor em %]]+B25*B26</f>
        <v>5.5764286593544599E-2</v>
      </c>
    </row>
    <row r="35" spans="1:4" x14ac:dyDescent="0.25">
      <c r="A35" s="182" t="s">
        <v>132</v>
      </c>
      <c r="B35" s="182"/>
    </row>
    <row r="37" spans="1:4" x14ac:dyDescent="0.25">
      <c r="A37" s="52" t="s">
        <v>87</v>
      </c>
      <c r="B37" s="52" t="s">
        <v>98</v>
      </c>
    </row>
    <row r="38" spans="1:4" x14ac:dyDescent="0.25">
      <c r="A38" s="24" t="s">
        <v>133</v>
      </c>
      <c r="B38" s="136">
        <f>B39/1+(B30/B31)*(1-'Demonstração Resultados'!B30)</f>
        <v>2.704890917848112</v>
      </c>
    </row>
    <row r="39" spans="1:4" x14ac:dyDescent="0.25">
      <c r="A39" s="24" t="s">
        <v>134</v>
      </c>
      <c r="B39" s="137">
        <v>1.08</v>
      </c>
    </row>
    <row r="41" spans="1:4" x14ac:dyDescent="0.25">
      <c r="A41" s="26" t="s">
        <v>87</v>
      </c>
      <c r="B41" s="26" t="s">
        <v>98</v>
      </c>
    </row>
    <row r="42" spans="1:4" ht="15.75" thickBot="1" x14ac:dyDescent="0.3">
      <c r="A42" s="27" t="s">
        <v>99</v>
      </c>
      <c r="B42" s="121">
        <f>'Mod.Rend.2010 Optic.Ent.Buil-UP'!B35</f>
        <v>-4.9000000000000002E-2</v>
      </c>
    </row>
    <row r="43" spans="1:4" ht="15.75" thickTop="1" x14ac:dyDescent="0.25">
      <c r="A43" s="82" t="s">
        <v>117</v>
      </c>
      <c r="B43" s="129">
        <f>C33-B42</f>
        <v>0.1047642865935446</v>
      </c>
      <c r="D43" s="131">
        <v>0.10476428659354459</v>
      </c>
    </row>
    <row r="44" spans="1:4" x14ac:dyDescent="0.25">
      <c r="C44" s="24" t="s">
        <v>186</v>
      </c>
      <c r="D44" s="138">
        <f>B43-D43</f>
        <v>0</v>
      </c>
    </row>
    <row r="45" spans="1:4" x14ac:dyDescent="0.25">
      <c r="C45" s="24" t="s">
        <v>194</v>
      </c>
    </row>
    <row r="46" spans="1:4" x14ac:dyDescent="0.25">
      <c r="C46" s="24" t="s">
        <v>190</v>
      </c>
    </row>
  </sheetData>
  <sheetProtection password="D4C8" sheet="1" objects="1" scenarios="1"/>
  <mergeCells count="4">
    <mergeCell ref="A1:D1"/>
    <mergeCell ref="A15:B15"/>
    <mergeCell ref="A35:B35"/>
    <mergeCell ref="A6:B6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5">
    <tablePart r:id="rId4"/>
    <tablePart r:id="rId5"/>
    <tablePart r:id="rId6"/>
    <tablePart r:id="rId7"/>
    <tablePart r:id="rId8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sqref="A1:D1"/>
    </sheetView>
  </sheetViews>
  <sheetFormatPr defaultRowHeight="15" x14ac:dyDescent="0.25"/>
  <cols>
    <col min="1" max="1" width="37.42578125" style="24" customWidth="1"/>
    <col min="2" max="2" width="12.42578125" style="24" customWidth="1"/>
    <col min="3" max="3" width="13.7109375" style="24" customWidth="1"/>
    <col min="4" max="4" width="12.7109375" style="24" customWidth="1"/>
    <col min="5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6" spans="1:4" ht="15.75" thickBot="1" x14ac:dyDescent="0.3">
      <c r="A6" s="188" t="s">
        <v>208</v>
      </c>
      <c r="B6" s="189"/>
      <c r="C6" s="189"/>
      <c r="D6" s="189"/>
    </row>
    <row r="7" spans="1:4" ht="16.5" thickTop="1" thickBot="1" x14ac:dyDescent="0.3">
      <c r="A7" s="75" t="s">
        <v>87</v>
      </c>
      <c r="B7" s="75" t="s">
        <v>200</v>
      </c>
      <c r="C7" s="75" t="s">
        <v>201</v>
      </c>
      <c r="D7" s="76" t="s">
        <v>202</v>
      </c>
    </row>
    <row r="8" spans="1:4" ht="15.75" thickTop="1" x14ac:dyDescent="0.25">
      <c r="A8" s="58" t="s">
        <v>166</v>
      </c>
      <c r="B8" s="139">
        <f>'Mod. Rendimento 2011 opt invest'!$B$12</f>
        <v>179534</v>
      </c>
      <c r="C8" s="139">
        <f>Tabela1331[[#Totals],[Unidade: (10³ €)]]</f>
        <v>232503</v>
      </c>
      <c r="D8" s="140">
        <f>(B8-C8)/C8</f>
        <v>-0.22782071629183279</v>
      </c>
    </row>
    <row r="9" spans="1:4" x14ac:dyDescent="0.25">
      <c r="A9" s="78" t="s">
        <v>203</v>
      </c>
      <c r="B9" s="141">
        <f>Tabela14[[#Totals],[Valor em %]]</f>
        <v>0.13490000000000002</v>
      </c>
      <c r="C9" s="141">
        <f>Tabela1432[[#Totals],[Valor em %]]</f>
        <v>0.13490000000000002</v>
      </c>
      <c r="D9" s="142">
        <f t="shared" ref="D9:D11" si="0">(B9-C9)/C9</f>
        <v>0</v>
      </c>
    </row>
    <row r="10" spans="1:4" x14ac:dyDescent="0.25">
      <c r="A10" s="58" t="s">
        <v>204</v>
      </c>
      <c r="B10" s="143">
        <f>Tabela19[Valor em %]</f>
        <v>-4.9000000000000002E-2</v>
      </c>
      <c r="C10" s="143">
        <f>Tabela1933[Valor em %]</f>
        <v>-4.9000000000000002E-2</v>
      </c>
      <c r="D10" s="144">
        <f t="shared" si="0"/>
        <v>0</v>
      </c>
    </row>
    <row r="11" spans="1:4" x14ac:dyDescent="0.25">
      <c r="A11" s="80" t="s">
        <v>157</v>
      </c>
      <c r="B11" s="145">
        <f>Tabela20[[#Totals],[Unidade: (10³ €)]]</f>
        <v>4128955.8363240892</v>
      </c>
      <c r="C11" s="145">
        <f>Tabela2034[[#Totals],[Unidade: (10³ €)]]</f>
        <v>4418939.3752039149</v>
      </c>
      <c r="D11" s="146">
        <f t="shared" si="0"/>
        <v>-6.5622882383726808E-2</v>
      </c>
    </row>
    <row r="12" spans="1:4" ht="15.75" thickBot="1" x14ac:dyDescent="0.3">
      <c r="A12" s="188" t="s">
        <v>207</v>
      </c>
      <c r="B12" s="189"/>
      <c r="C12" s="189"/>
      <c r="D12" s="189"/>
    </row>
    <row r="13" spans="1:4" ht="16.5" thickTop="1" thickBot="1" x14ac:dyDescent="0.3">
      <c r="A13" s="190" t="s">
        <v>209</v>
      </c>
      <c r="B13" s="191"/>
      <c r="C13" s="191"/>
      <c r="D13" s="191"/>
    </row>
    <row r="14" spans="1:4" ht="15.75" thickTop="1" x14ac:dyDescent="0.25">
      <c r="A14" s="58" t="s">
        <v>166</v>
      </c>
      <c r="B14" s="139">
        <f>Tabela1321[[#Totals],[Unidade: (10³ €)]]</f>
        <v>236680.9852608642</v>
      </c>
      <c r="C14" s="139">
        <f>Tabela132135[[#Totals],[Unidade: (10³ €)]]</f>
        <v>276310.00601759652</v>
      </c>
      <c r="D14" s="140">
        <f>(B14-C14)/C14</f>
        <v>-0.14342231513037784</v>
      </c>
    </row>
    <row r="15" spans="1:4" x14ac:dyDescent="0.25">
      <c r="A15" s="78" t="s">
        <v>205</v>
      </c>
      <c r="B15" s="141">
        <f>'Mod.Rend.2011 Opt.Entid.Buil-UP'!B24</f>
        <v>0.8486054214537524</v>
      </c>
      <c r="C15" s="141">
        <f>'Mod.Rend.2010 Optic.Ent.Buil-UP'!B25</f>
        <v>0.68721867813417803</v>
      </c>
      <c r="D15" s="142">
        <f t="shared" ref="D15:D17" si="1">(B15-C15)/C15</f>
        <v>0.23484044956074948</v>
      </c>
    </row>
    <row r="16" spans="1:4" x14ac:dyDescent="0.25">
      <c r="A16" s="58" t="s">
        <v>203</v>
      </c>
      <c r="B16" s="143">
        <f>'Mod.Rend.2011 Opt.Entid.Buil-UP'!C31</f>
        <v>4.2386571550362115E-2</v>
      </c>
      <c r="C16" s="143">
        <f>'Mod.Rend.2010 Optic.Ent.Buil-UP'!C32</f>
        <v>5.4999950209089085E-2</v>
      </c>
      <c r="D16" s="140">
        <f>(B16-C16)/C16</f>
        <v>-0.22933436504534382</v>
      </c>
    </row>
    <row r="17" spans="1:4" x14ac:dyDescent="0.25">
      <c r="A17" s="80" t="s">
        <v>206</v>
      </c>
      <c r="B17" s="147">
        <f>'Mod.Rend.2011 Opt.Entid.Buil-UP'!B35</f>
        <v>9.1386571550362117E-2</v>
      </c>
      <c r="C17" s="147">
        <f>'Mod.Rend.2010 Optic.Ent.Buil-UP'!B36</f>
        <v>0.10399995020908909</v>
      </c>
      <c r="D17" s="146">
        <f t="shared" si="1"/>
        <v>-0.12128254516822473</v>
      </c>
    </row>
    <row r="18" spans="1:4" ht="15.75" thickBot="1" x14ac:dyDescent="0.3">
      <c r="A18" s="192" t="s">
        <v>220</v>
      </c>
      <c r="B18" s="193"/>
      <c r="C18" s="193"/>
      <c r="D18" s="193"/>
    </row>
    <row r="19" spans="1:4" ht="15.75" thickTop="1" x14ac:dyDescent="0.25">
      <c r="A19" s="58" t="s">
        <v>166</v>
      </c>
      <c r="B19" s="139">
        <f>Tabela132124[[#Totals],[Unidade: (10³ €)]]</f>
        <v>236680.9852608642</v>
      </c>
      <c r="C19" s="139">
        <f>Tabela13212439[[#Totals],[Unidade: (10³ €)]]</f>
        <v>276310.00601759652</v>
      </c>
      <c r="D19" s="140">
        <f>(B19-C19)/C19</f>
        <v>-0.14342231513037784</v>
      </c>
    </row>
    <row r="20" spans="1:4" x14ac:dyDescent="0.25">
      <c r="A20" s="78" t="s">
        <v>205</v>
      </c>
      <c r="B20" s="141">
        <f>'Mod.Rend.2011 Optic.Enti. MCAPM'!B25</f>
        <v>0.85161276434640898</v>
      </c>
      <c r="C20" s="141">
        <f>'Mod.Rend.2010. Optic.Ent.MCAPM'!B26</f>
        <v>0.69226931747313281</v>
      </c>
      <c r="D20" s="142">
        <f t="shared" ref="D20" si="2">(B20-C20)/C20</f>
        <v>0.23017551529641547</v>
      </c>
    </row>
    <row r="21" spans="1:4" x14ac:dyDescent="0.25">
      <c r="A21" s="58" t="s">
        <v>203</v>
      </c>
      <c r="B21" s="143">
        <f>'Mod.Rend.2011 Optic.Enti. MCAPM'!C32</f>
        <v>4.2710433205600473E-2</v>
      </c>
      <c r="C21" s="143">
        <f>'Mod.Rend.2010. Optic.Ent.MCAPM'!C33</f>
        <v>5.5764286593544599E-2</v>
      </c>
      <c r="D21" s="140">
        <f>(B21-C21)/C21</f>
        <v>-0.23408984827675119</v>
      </c>
    </row>
    <row r="22" spans="1:4" x14ac:dyDescent="0.25">
      <c r="A22" s="80" t="s">
        <v>206</v>
      </c>
      <c r="B22" s="147">
        <f>'Mod.Rend.2011 Optic.Enti. MCAPM'!B42</f>
        <v>9.1710433205600475E-2</v>
      </c>
      <c r="C22" s="147">
        <f>'Mod.Rend.2010. Optic.Ent.MCAPM'!B43</f>
        <v>0.1047642865935446</v>
      </c>
      <c r="D22" s="146">
        <f t="shared" ref="D22" si="3">(B22-C22)/C22</f>
        <v>-0.12460213124525282</v>
      </c>
    </row>
  </sheetData>
  <sheetProtection password="D4C8" sheet="1" objects="1" scenarios="1"/>
  <mergeCells count="5">
    <mergeCell ref="A12:D12"/>
    <mergeCell ref="A6:D6"/>
    <mergeCell ref="A13:D13"/>
    <mergeCell ref="A18:D18"/>
    <mergeCell ref="A1:D1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showGridLines="0" workbookViewId="0">
      <selection sqref="A1:D1"/>
    </sheetView>
  </sheetViews>
  <sheetFormatPr defaultRowHeight="15" x14ac:dyDescent="0.25"/>
  <cols>
    <col min="1" max="1" width="43.28515625" customWidth="1"/>
    <col min="2" max="2" width="9.7109375" customWidth="1"/>
    <col min="3" max="3" width="12.85546875" customWidth="1"/>
    <col min="4" max="4" width="12.7109375" bestFit="1" customWidth="1"/>
    <col min="5" max="5" width="2.7109375" customWidth="1"/>
  </cols>
  <sheetData>
    <row r="1" spans="1:8" ht="15.75" x14ac:dyDescent="0.25">
      <c r="A1" s="162" t="s">
        <v>79</v>
      </c>
      <c r="B1" s="162"/>
      <c r="C1" s="162"/>
      <c r="D1" s="162"/>
      <c r="E1" s="3"/>
      <c r="F1" s="3"/>
      <c r="G1" s="3"/>
      <c r="H1" s="3"/>
    </row>
    <row r="2" spans="1:8" x14ac:dyDescent="0.25">
      <c r="A2" s="163" t="s">
        <v>125</v>
      </c>
      <c r="B2" s="164"/>
      <c r="C2" s="164"/>
      <c r="D2" s="4"/>
    </row>
    <row r="3" spans="1:8" x14ac:dyDescent="0.25">
      <c r="A3" s="164"/>
      <c r="B3" s="164"/>
      <c r="C3" s="164"/>
      <c r="D3" s="11" t="str">
        <f>Balanço!D3</f>
        <v>Unidade: (10³ €)</v>
      </c>
    </row>
    <row r="4" spans="1:8" x14ac:dyDescent="0.25">
      <c r="A4" s="4"/>
      <c r="B4" s="10" t="s">
        <v>18</v>
      </c>
      <c r="C4" s="10">
        <v>2011</v>
      </c>
      <c r="D4" s="10">
        <v>2010</v>
      </c>
    </row>
    <row r="5" spans="1:8" x14ac:dyDescent="0.25">
      <c r="A5" s="5" t="s">
        <v>0</v>
      </c>
      <c r="B5" s="6"/>
      <c r="C5" s="7"/>
      <c r="D5" s="7"/>
    </row>
    <row r="6" spans="1:8" x14ac:dyDescent="0.25">
      <c r="A6" s="13" t="s">
        <v>5</v>
      </c>
      <c r="B6" s="14"/>
      <c r="C6" s="15">
        <v>2275269</v>
      </c>
      <c r="D6" s="15">
        <v>2239426</v>
      </c>
    </row>
    <row r="7" spans="1:8" x14ac:dyDescent="0.25">
      <c r="A7" s="13" t="s">
        <v>6</v>
      </c>
      <c r="B7" s="14"/>
      <c r="C7" s="15">
        <v>82963</v>
      </c>
      <c r="D7" s="15">
        <v>76479</v>
      </c>
    </row>
    <row r="8" spans="1:8" x14ac:dyDescent="0.25">
      <c r="A8" s="16" t="s">
        <v>1</v>
      </c>
      <c r="B8" s="17"/>
      <c r="C8" s="18">
        <f>SUM(C6:C7)+1</f>
        <v>2358233</v>
      </c>
      <c r="D8" s="18">
        <f>SUM(D6:D7)</f>
        <v>2315905</v>
      </c>
    </row>
    <row r="9" spans="1:8" x14ac:dyDescent="0.25">
      <c r="A9" s="19" t="s">
        <v>2</v>
      </c>
      <c r="B9" s="14"/>
      <c r="C9" s="15"/>
      <c r="D9" s="15"/>
    </row>
    <row r="10" spans="1:8" x14ac:dyDescent="0.25">
      <c r="A10" s="20" t="s">
        <v>7</v>
      </c>
      <c r="B10" s="14"/>
      <c r="C10" s="15">
        <v>659954</v>
      </c>
      <c r="D10" s="15">
        <v>642745</v>
      </c>
    </row>
    <row r="11" spans="1:8" x14ac:dyDescent="0.25">
      <c r="A11" s="20" t="s">
        <v>8</v>
      </c>
      <c r="B11" s="14"/>
      <c r="C11" s="15">
        <v>-7599</v>
      </c>
      <c r="D11" s="15">
        <v>14622</v>
      </c>
    </row>
    <row r="12" spans="1:8" x14ac:dyDescent="0.25">
      <c r="A12" s="20" t="s">
        <v>9</v>
      </c>
      <c r="B12" s="14"/>
      <c r="C12" s="15">
        <v>769946</v>
      </c>
      <c r="D12" s="15">
        <v>757966</v>
      </c>
    </row>
    <row r="13" spans="1:8" x14ac:dyDescent="0.25">
      <c r="A13" s="20" t="s">
        <v>10</v>
      </c>
      <c r="B13" s="14"/>
      <c r="C13" s="15">
        <v>266034</v>
      </c>
      <c r="D13" s="15">
        <v>260256</v>
      </c>
    </row>
    <row r="14" spans="1:8" x14ac:dyDescent="0.25">
      <c r="A14" s="157" t="s">
        <v>11</v>
      </c>
      <c r="B14" s="158"/>
      <c r="C14" s="160">
        <v>225929</v>
      </c>
      <c r="D14" s="160">
        <v>216387</v>
      </c>
    </row>
    <row r="15" spans="1:8" x14ac:dyDescent="0.25">
      <c r="A15" s="157"/>
      <c r="B15" s="159"/>
      <c r="C15" s="161"/>
      <c r="D15" s="161"/>
    </row>
    <row r="16" spans="1:8" x14ac:dyDescent="0.25">
      <c r="A16" s="20" t="s">
        <v>12</v>
      </c>
      <c r="B16" s="14"/>
      <c r="C16" s="15">
        <v>-17227</v>
      </c>
      <c r="D16" s="15">
        <v>-4303</v>
      </c>
    </row>
    <row r="17" spans="1:5" x14ac:dyDescent="0.25">
      <c r="A17" s="20" t="s">
        <v>13</v>
      </c>
      <c r="B17" s="14"/>
      <c r="C17" s="15">
        <v>38750</v>
      </c>
      <c r="D17" s="15">
        <v>39743</v>
      </c>
    </row>
    <row r="18" spans="1:5" x14ac:dyDescent="0.25">
      <c r="A18" s="16" t="s">
        <v>4</v>
      </c>
      <c r="B18" s="17"/>
      <c r="C18" s="18">
        <f>C10-C11+C12+C13+C14-C16+C17-1</f>
        <v>1985438</v>
      </c>
      <c r="D18" s="18">
        <f>D10+D11+D12+D13+D14-D16+D17-29244</f>
        <v>1906778</v>
      </c>
      <c r="E18" s="2"/>
    </row>
    <row r="19" spans="1:5" x14ac:dyDescent="0.25">
      <c r="A19" s="21" t="s">
        <v>14</v>
      </c>
      <c r="B19" s="22"/>
      <c r="C19" s="23">
        <f>C8-C18</f>
        <v>372795</v>
      </c>
      <c r="D19" s="23">
        <f>D8-D18</f>
        <v>409127</v>
      </c>
    </row>
    <row r="20" spans="1:5" x14ac:dyDescent="0.25">
      <c r="A20" s="20" t="s">
        <v>19</v>
      </c>
      <c r="B20" s="14"/>
      <c r="C20" s="15">
        <v>-80545</v>
      </c>
      <c r="D20" s="15">
        <v>-47103</v>
      </c>
    </row>
    <row r="21" spans="1:5" x14ac:dyDescent="0.25">
      <c r="A21" s="20" t="s">
        <v>20</v>
      </c>
      <c r="B21" s="14"/>
      <c r="C21" s="15">
        <v>-1240</v>
      </c>
      <c r="D21" s="15">
        <v>-993</v>
      </c>
    </row>
    <row r="22" spans="1:5" x14ac:dyDescent="0.25">
      <c r="A22" s="20" t="s">
        <v>21</v>
      </c>
      <c r="B22" s="14"/>
      <c r="C22" s="15">
        <v>867</v>
      </c>
      <c r="D22" s="15">
        <v>-12553</v>
      </c>
    </row>
    <row r="23" spans="1:5" x14ac:dyDescent="0.25">
      <c r="A23" s="21" t="s">
        <v>15</v>
      </c>
      <c r="B23" s="22"/>
      <c r="C23" s="23">
        <f>SUM(C19:C22)-1</f>
        <v>291876</v>
      </c>
      <c r="D23" s="23">
        <f>SUM(D19:D22)</f>
        <v>348478</v>
      </c>
    </row>
    <row r="24" spans="1:5" x14ac:dyDescent="0.25">
      <c r="A24" s="20" t="s">
        <v>22</v>
      </c>
      <c r="B24" s="14"/>
      <c r="C24" s="15">
        <v>85746</v>
      </c>
      <c r="D24" s="15">
        <v>96771</v>
      </c>
    </row>
    <row r="25" spans="1:5" x14ac:dyDescent="0.25">
      <c r="A25" s="21" t="s">
        <v>17</v>
      </c>
      <c r="B25" s="22"/>
      <c r="C25" s="23">
        <f>C23-C24</f>
        <v>206130</v>
      </c>
      <c r="D25" s="23">
        <f>D23-D24</f>
        <v>251707</v>
      </c>
    </row>
    <row r="26" spans="1:5" x14ac:dyDescent="0.25">
      <c r="A26" s="24"/>
      <c r="B26" s="24"/>
      <c r="C26" s="24"/>
      <c r="D26" s="24"/>
    </row>
    <row r="27" spans="1:5" x14ac:dyDescent="0.25">
      <c r="A27" s="25" t="s">
        <v>103</v>
      </c>
      <c r="B27" s="24"/>
      <c r="C27" s="24"/>
      <c r="D27" s="24"/>
    </row>
    <row r="28" spans="1:5" x14ac:dyDescent="0.25">
      <c r="A28" s="26" t="s">
        <v>106</v>
      </c>
      <c r="B28" s="27" t="s">
        <v>98</v>
      </c>
      <c r="C28" s="24"/>
      <c r="D28" s="24"/>
    </row>
    <row r="29" spans="1:5" x14ac:dyDescent="0.25">
      <c r="A29" s="26" t="s">
        <v>104</v>
      </c>
      <c r="B29" s="28">
        <f>1-(C25/C23)</f>
        <v>0.29377543888500601</v>
      </c>
      <c r="C29" s="24"/>
      <c r="D29" s="24"/>
    </row>
    <row r="30" spans="1:5" x14ac:dyDescent="0.25">
      <c r="A30" s="26" t="s">
        <v>105</v>
      </c>
      <c r="B30" s="28">
        <f>1-(D25/D23)</f>
        <v>0.2776961529852674</v>
      </c>
      <c r="C30" s="24"/>
      <c r="D30" s="24"/>
    </row>
    <row r="31" spans="1:5" x14ac:dyDescent="0.25">
      <c r="A31" s="24"/>
      <c r="B31" s="24"/>
      <c r="C31" s="24"/>
      <c r="D31" s="24"/>
    </row>
    <row r="32" spans="1:5" x14ac:dyDescent="0.25">
      <c r="A32" s="24"/>
      <c r="B32" s="24"/>
      <c r="C32" s="24"/>
      <c r="D32" s="24"/>
    </row>
    <row r="33" spans="1:4" x14ac:dyDescent="0.25">
      <c r="A33" s="24"/>
      <c r="B33" s="24"/>
      <c r="C33" s="24"/>
      <c r="D33" s="24"/>
    </row>
    <row r="34" spans="1:4" x14ac:dyDescent="0.25">
      <c r="A34" s="24"/>
      <c r="B34" s="24"/>
      <c r="C34" s="24"/>
      <c r="D34" s="24"/>
    </row>
    <row r="35" spans="1:4" x14ac:dyDescent="0.25">
      <c r="A35" s="24"/>
      <c r="B35" s="24"/>
      <c r="C35" s="24"/>
      <c r="D35" s="24"/>
    </row>
    <row r="36" spans="1:4" x14ac:dyDescent="0.25">
      <c r="A36" s="24"/>
      <c r="B36" s="24"/>
      <c r="C36" s="24"/>
      <c r="D36" s="24"/>
    </row>
    <row r="37" spans="1:4" x14ac:dyDescent="0.25">
      <c r="A37" s="24"/>
      <c r="B37" s="24"/>
      <c r="C37" s="24"/>
      <c r="D37" s="24"/>
    </row>
    <row r="38" spans="1:4" x14ac:dyDescent="0.25">
      <c r="A38" s="24"/>
      <c r="B38" s="24"/>
      <c r="C38" s="24"/>
      <c r="D38" s="24"/>
    </row>
    <row r="39" spans="1:4" x14ac:dyDescent="0.25">
      <c r="A39" s="24"/>
      <c r="B39" s="24"/>
      <c r="C39" s="24"/>
      <c r="D39" s="24"/>
    </row>
    <row r="40" spans="1:4" x14ac:dyDescent="0.25">
      <c r="A40" s="24"/>
      <c r="B40" s="24"/>
      <c r="C40" s="24"/>
      <c r="D40" s="24"/>
    </row>
    <row r="41" spans="1:4" x14ac:dyDescent="0.25">
      <c r="A41" s="24"/>
      <c r="B41" s="24"/>
      <c r="C41" s="24"/>
      <c r="D41" s="24"/>
    </row>
    <row r="42" spans="1:4" x14ac:dyDescent="0.25">
      <c r="A42" s="24"/>
      <c r="B42" s="24"/>
      <c r="C42" s="24"/>
      <c r="D42" s="24"/>
    </row>
    <row r="43" spans="1:4" x14ac:dyDescent="0.25">
      <c r="A43" s="24"/>
      <c r="B43" s="24"/>
      <c r="C43" s="24"/>
      <c r="D43" s="24"/>
    </row>
    <row r="44" spans="1:4" x14ac:dyDescent="0.25">
      <c r="A44" s="24"/>
      <c r="B44" s="24"/>
      <c r="C44" s="24"/>
      <c r="D44" s="24"/>
    </row>
    <row r="45" spans="1:4" x14ac:dyDescent="0.25">
      <c r="A45" s="24"/>
      <c r="B45" s="24"/>
      <c r="C45" s="24"/>
      <c r="D45" s="24"/>
    </row>
    <row r="46" spans="1:4" x14ac:dyDescent="0.25">
      <c r="A46" s="24"/>
      <c r="B46" s="24"/>
      <c r="C46" s="24"/>
      <c r="D46" s="24"/>
    </row>
    <row r="47" spans="1:4" x14ac:dyDescent="0.25">
      <c r="A47" s="24"/>
      <c r="B47" s="24"/>
      <c r="C47" s="24"/>
      <c r="D47" s="24"/>
    </row>
    <row r="48" spans="1:4" x14ac:dyDescent="0.25">
      <c r="A48" s="24"/>
      <c r="B48" s="24"/>
      <c r="C48" s="24"/>
      <c r="D48" s="24"/>
    </row>
    <row r="49" spans="1:4" x14ac:dyDescent="0.25">
      <c r="A49" s="24"/>
      <c r="B49" s="24"/>
      <c r="C49" s="24"/>
      <c r="D49" s="24"/>
    </row>
    <row r="50" spans="1:4" x14ac:dyDescent="0.25">
      <c r="A50" s="24"/>
      <c r="B50" s="24"/>
      <c r="C50" s="24"/>
      <c r="D50" s="24"/>
    </row>
    <row r="51" spans="1:4" x14ac:dyDescent="0.25">
      <c r="A51" s="24"/>
      <c r="B51" s="24"/>
      <c r="C51" s="24"/>
      <c r="D51" s="24"/>
    </row>
    <row r="52" spans="1:4" x14ac:dyDescent="0.25">
      <c r="A52" s="24"/>
      <c r="B52" s="24"/>
      <c r="C52" s="24"/>
      <c r="D52" s="24"/>
    </row>
    <row r="53" spans="1:4" x14ac:dyDescent="0.25">
      <c r="A53" s="24"/>
      <c r="B53" s="24"/>
      <c r="C53" s="24"/>
      <c r="D53" s="24"/>
    </row>
    <row r="54" spans="1:4" x14ac:dyDescent="0.25">
      <c r="A54" s="24"/>
      <c r="B54" s="24"/>
      <c r="C54" s="24"/>
      <c r="D54" s="24"/>
    </row>
    <row r="55" spans="1:4" x14ac:dyDescent="0.25">
      <c r="A55" s="24"/>
      <c r="B55" s="24"/>
      <c r="C55" s="24"/>
      <c r="D55" s="24"/>
    </row>
    <row r="56" spans="1:4" x14ac:dyDescent="0.25">
      <c r="A56" s="24"/>
      <c r="B56" s="24"/>
      <c r="C56" s="24"/>
      <c r="D56" s="24"/>
    </row>
    <row r="57" spans="1:4" x14ac:dyDescent="0.25">
      <c r="A57" s="24"/>
      <c r="B57" s="24"/>
      <c r="C57" s="24"/>
      <c r="D57" s="24"/>
    </row>
    <row r="58" spans="1:4" x14ac:dyDescent="0.25">
      <c r="A58" s="24"/>
      <c r="B58" s="24"/>
      <c r="C58" s="24"/>
      <c r="D58" s="24"/>
    </row>
    <row r="59" spans="1:4" x14ac:dyDescent="0.25">
      <c r="A59" s="24"/>
      <c r="B59" s="24"/>
      <c r="C59" s="24"/>
      <c r="D59" s="24"/>
    </row>
    <row r="60" spans="1:4" x14ac:dyDescent="0.25">
      <c r="A60" s="24"/>
      <c r="B60" s="24"/>
      <c r="C60" s="24"/>
      <c r="D60" s="24"/>
    </row>
    <row r="61" spans="1:4" x14ac:dyDescent="0.25">
      <c r="A61" s="24"/>
      <c r="B61" s="24"/>
      <c r="C61" s="24"/>
      <c r="D61" s="24"/>
    </row>
    <row r="62" spans="1:4" x14ac:dyDescent="0.25">
      <c r="A62" s="24"/>
      <c r="B62" s="24"/>
      <c r="C62" s="24"/>
      <c r="D62" s="24"/>
    </row>
    <row r="63" spans="1:4" x14ac:dyDescent="0.25">
      <c r="A63" s="24"/>
      <c r="B63" s="24"/>
      <c r="C63" s="24"/>
      <c r="D63" s="24"/>
    </row>
    <row r="64" spans="1:4" x14ac:dyDescent="0.25">
      <c r="A64" s="24"/>
      <c r="B64" s="24"/>
      <c r="C64" s="24"/>
      <c r="D64" s="24"/>
    </row>
    <row r="65" spans="1:4" x14ac:dyDescent="0.25">
      <c r="A65" s="24"/>
      <c r="B65" s="24"/>
      <c r="C65" s="24"/>
      <c r="D65" s="24"/>
    </row>
    <row r="66" spans="1:4" x14ac:dyDescent="0.25">
      <c r="A66" s="24"/>
      <c r="B66" s="24"/>
      <c r="C66" s="24"/>
      <c r="D66" s="24"/>
    </row>
    <row r="67" spans="1:4" x14ac:dyDescent="0.25">
      <c r="A67" s="24"/>
      <c r="B67" s="24"/>
      <c r="C67" s="24"/>
      <c r="D67" s="24"/>
    </row>
    <row r="68" spans="1:4" x14ac:dyDescent="0.25">
      <c r="A68" s="24"/>
      <c r="B68" s="24"/>
      <c r="C68" s="24"/>
      <c r="D68" s="24"/>
    </row>
    <row r="69" spans="1:4" x14ac:dyDescent="0.25">
      <c r="A69" s="24"/>
      <c r="B69" s="24"/>
      <c r="C69" s="24"/>
      <c r="D69" s="24"/>
    </row>
    <row r="70" spans="1:4" x14ac:dyDescent="0.25">
      <c r="A70" s="24"/>
      <c r="B70" s="24"/>
      <c r="C70" s="24"/>
      <c r="D70" s="24"/>
    </row>
    <row r="71" spans="1:4" x14ac:dyDescent="0.25">
      <c r="A71" s="24"/>
      <c r="B71" s="24"/>
      <c r="C71" s="24"/>
      <c r="D71" s="24"/>
    </row>
    <row r="72" spans="1:4" x14ac:dyDescent="0.25">
      <c r="A72" s="24"/>
      <c r="B72" s="24"/>
      <c r="C72" s="24"/>
      <c r="D72" s="24"/>
    </row>
    <row r="73" spans="1:4" x14ac:dyDescent="0.25">
      <c r="A73" s="24"/>
      <c r="B73" s="24"/>
      <c r="C73" s="24"/>
      <c r="D73" s="24"/>
    </row>
    <row r="74" spans="1:4" x14ac:dyDescent="0.25">
      <c r="A74" s="24"/>
      <c r="B74" s="24"/>
      <c r="C74" s="24"/>
      <c r="D74" s="24"/>
    </row>
    <row r="75" spans="1:4" x14ac:dyDescent="0.25">
      <c r="A75" s="24"/>
      <c r="B75" s="24"/>
      <c r="C75" s="24"/>
      <c r="D75" s="24"/>
    </row>
    <row r="76" spans="1:4" x14ac:dyDescent="0.25">
      <c r="A76" s="24"/>
      <c r="B76" s="24"/>
      <c r="C76" s="24"/>
      <c r="D76" s="24"/>
    </row>
    <row r="77" spans="1:4" x14ac:dyDescent="0.25">
      <c r="A77" s="24"/>
      <c r="B77" s="24"/>
      <c r="C77" s="24"/>
      <c r="D77" s="24"/>
    </row>
    <row r="78" spans="1:4" x14ac:dyDescent="0.25">
      <c r="A78" s="24"/>
      <c r="B78" s="24"/>
      <c r="C78" s="24"/>
      <c r="D78" s="24"/>
    </row>
    <row r="79" spans="1:4" x14ac:dyDescent="0.25">
      <c r="A79" s="24"/>
      <c r="B79" s="24"/>
      <c r="C79" s="24"/>
      <c r="D79" s="24"/>
    </row>
    <row r="80" spans="1:4" x14ac:dyDescent="0.25">
      <c r="A80" s="24"/>
      <c r="B80" s="24"/>
      <c r="C80" s="24"/>
      <c r="D80" s="24"/>
    </row>
    <row r="81" spans="1:4" x14ac:dyDescent="0.25">
      <c r="A81" s="24"/>
      <c r="B81" s="24"/>
      <c r="C81" s="24"/>
      <c r="D81" s="24"/>
    </row>
    <row r="82" spans="1:4" x14ac:dyDescent="0.25">
      <c r="A82" s="24"/>
      <c r="B82" s="24"/>
      <c r="C82" s="24"/>
      <c r="D82" s="24"/>
    </row>
    <row r="83" spans="1:4" x14ac:dyDescent="0.25">
      <c r="A83" s="24"/>
      <c r="B83" s="24"/>
      <c r="C83" s="24"/>
      <c r="D83" s="24"/>
    </row>
    <row r="84" spans="1:4" x14ac:dyDescent="0.25">
      <c r="A84" s="24"/>
      <c r="B84" s="24"/>
      <c r="C84" s="24"/>
      <c r="D84" s="24"/>
    </row>
    <row r="85" spans="1:4" x14ac:dyDescent="0.25">
      <c r="A85" s="24"/>
      <c r="B85" s="24"/>
      <c r="C85" s="24"/>
      <c r="D85" s="24"/>
    </row>
    <row r="86" spans="1:4" x14ac:dyDescent="0.25">
      <c r="A86" s="24"/>
      <c r="B86" s="24"/>
      <c r="C86" s="24"/>
      <c r="D86" s="24"/>
    </row>
    <row r="87" spans="1:4" x14ac:dyDescent="0.25">
      <c r="A87" s="24"/>
      <c r="B87" s="24"/>
      <c r="C87" s="24"/>
      <c r="D87" s="24"/>
    </row>
    <row r="88" spans="1:4" x14ac:dyDescent="0.25">
      <c r="A88" s="24"/>
      <c r="B88" s="24"/>
      <c r="C88" s="24"/>
      <c r="D88" s="24"/>
    </row>
    <row r="89" spans="1:4" x14ac:dyDescent="0.25">
      <c r="A89" s="24"/>
      <c r="B89" s="24"/>
      <c r="C89" s="24"/>
      <c r="D89" s="24"/>
    </row>
    <row r="90" spans="1:4" x14ac:dyDescent="0.25">
      <c r="A90" s="24"/>
      <c r="B90" s="24"/>
      <c r="C90" s="24"/>
      <c r="D90" s="24"/>
    </row>
    <row r="91" spans="1:4" x14ac:dyDescent="0.25">
      <c r="A91" s="24"/>
      <c r="B91" s="24"/>
      <c r="C91" s="24"/>
      <c r="D91" s="24"/>
    </row>
    <row r="92" spans="1:4" x14ac:dyDescent="0.25">
      <c r="A92" s="24"/>
      <c r="B92" s="24"/>
      <c r="C92" s="24"/>
      <c r="D92" s="24"/>
    </row>
    <row r="93" spans="1:4" x14ac:dyDescent="0.25">
      <c r="A93" s="24"/>
      <c r="B93" s="24"/>
      <c r="C93" s="24"/>
      <c r="D93" s="24"/>
    </row>
    <row r="94" spans="1:4" x14ac:dyDescent="0.25">
      <c r="A94" s="24"/>
      <c r="B94" s="24"/>
      <c r="C94" s="24"/>
      <c r="D94" s="24"/>
    </row>
    <row r="95" spans="1:4" x14ac:dyDescent="0.25">
      <c r="A95" s="24"/>
      <c r="B95" s="24"/>
      <c r="C95" s="24"/>
      <c r="D95" s="24"/>
    </row>
    <row r="96" spans="1:4" x14ac:dyDescent="0.25">
      <c r="A96" s="24"/>
      <c r="B96" s="24"/>
      <c r="C96" s="24"/>
      <c r="D96" s="24"/>
    </row>
    <row r="97" spans="1:4" x14ac:dyDescent="0.25">
      <c r="A97" s="24"/>
      <c r="B97" s="24"/>
      <c r="C97" s="24"/>
      <c r="D97" s="24"/>
    </row>
    <row r="98" spans="1:4" x14ac:dyDescent="0.25">
      <c r="A98" s="24"/>
      <c r="B98" s="24"/>
      <c r="C98" s="24"/>
      <c r="D98" s="24"/>
    </row>
    <row r="99" spans="1:4" x14ac:dyDescent="0.25">
      <c r="A99" s="24"/>
      <c r="B99" s="24"/>
      <c r="C99" s="24"/>
      <c r="D99" s="24"/>
    </row>
    <row r="100" spans="1:4" x14ac:dyDescent="0.25">
      <c r="A100" s="24"/>
      <c r="B100" s="24"/>
      <c r="C100" s="24"/>
      <c r="D100" s="24"/>
    </row>
    <row r="101" spans="1:4" x14ac:dyDescent="0.25">
      <c r="A101" s="24"/>
      <c r="B101" s="24"/>
      <c r="C101" s="24"/>
      <c r="D101" s="24"/>
    </row>
    <row r="102" spans="1:4" x14ac:dyDescent="0.25">
      <c r="A102" s="24"/>
      <c r="B102" s="24"/>
      <c r="C102" s="24"/>
      <c r="D102" s="24"/>
    </row>
    <row r="103" spans="1:4" x14ac:dyDescent="0.25">
      <c r="A103" s="24"/>
      <c r="B103" s="24"/>
      <c r="C103" s="24"/>
      <c r="D103" s="24"/>
    </row>
    <row r="104" spans="1:4" x14ac:dyDescent="0.25">
      <c r="A104" s="24"/>
      <c r="B104" s="24"/>
      <c r="C104" s="24"/>
      <c r="D104" s="24"/>
    </row>
    <row r="105" spans="1:4" x14ac:dyDescent="0.25">
      <c r="A105" s="24"/>
      <c r="B105" s="24"/>
      <c r="C105" s="24"/>
      <c r="D105" s="24"/>
    </row>
    <row r="106" spans="1:4" x14ac:dyDescent="0.25">
      <c r="A106" s="24"/>
      <c r="B106" s="24"/>
      <c r="C106" s="24"/>
      <c r="D106" s="24"/>
    </row>
    <row r="107" spans="1:4" x14ac:dyDescent="0.25">
      <c r="A107" s="24"/>
      <c r="B107" s="24"/>
      <c r="C107" s="24"/>
      <c r="D107" s="24"/>
    </row>
    <row r="108" spans="1:4" x14ac:dyDescent="0.25">
      <c r="A108" s="24"/>
      <c r="B108" s="24"/>
      <c r="C108" s="24"/>
      <c r="D108" s="24"/>
    </row>
    <row r="109" spans="1:4" x14ac:dyDescent="0.25">
      <c r="A109" s="24"/>
      <c r="B109" s="24"/>
      <c r="C109" s="24"/>
      <c r="D109" s="24"/>
    </row>
    <row r="110" spans="1:4" x14ac:dyDescent="0.25">
      <c r="A110" s="24"/>
      <c r="B110" s="24"/>
      <c r="C110" s="24"/>
      <c r="D110" s="24"/>
    </row>
    <row r="111" spans="1:4" x14ac:dyDescent="0.25">
      <c r="A111" s="24"/>
      <c r="B111" s="24"/>
      <c r="C111" s="24"/>
      <c r="D111" s="24"/>
    </row>
    <row r="112" spans="1:4" x14ac:dyDescent="0.25">
      <c r="A112" s="24"/>
      <c r="B112" s="24"/>
      <c r="C112" s="24"/>
      <c r="D112" s="24"/>
    </row>
    <row r="113" spans="1:4" x14ac:dyDescent="0.25">
      <c r="A113" s="24"/>
      <c r="B113" s="24"/>
      <c r="C113" s="24"/>
      <c r="D113" s="24"/>
    </row>
    <row r="114" spans="1:4" x14ac:dyDescent="0.25">
      <c r="A114" s="24"/>
      <c r="B114" s="24"/>
      <c r="C114" s="24"/>
      <c r="D114" s="24"/>
    </row>
    <row r="115" spans="1:4" x14ac:dyDescent="0.25">
      <c r="A115" s="24"/>
      <c r="B115" s="24"/>
      <c r="C115" s="24"/>
      <c r="D115" s="24"/>
    </row>
    <row r="116" spans="1:4" x14ac:dyDescent="0.25">
      <c r="A116" s="24"/>
      <c r="B116" s="24"/>
      <c r="C116" s="24"/>
      <c r="D116" s="24"/>
    </row>
    <row r="117" spans="1:4" x14ac:dyDescent="0.25">
      <c r="A117" s="24"/>
      <c r="B117" s="24"/>
      <c r="C117" s="24"/>
      <c r="D117" s="24"/>
    </row>
    <row r="118" spans="1:4" x14ac:dyDescent="0.25">
      <c r="A118" s="24"/>
      <c r="B118" s="24"/>
      <c r="C118" s="24"/>
      <c r="D118" s="24"/>
    </row>
    <row r="119" spans="1:4" x14ac:dyDescent="0.25">
      <c r="A119" s="24"/>
      <c r="B119" s="24"/>
      <c r="C119" s="24"/>
      <c r="D119" s="24"/>
    </row>
    <row r="120" spans="1:4" x14ac:dyDescent="0.25">
      <c r="A120" s="24"/>
      <c r="B120" s="24"/>
      <c r="C120" s="24"/>
      <c r="D120" s="24"/>
    </row>
    <row r="121" spans="1:4" x14ac:dyDescent="0.25">
      <c r="A121" s="24"/>
      <c r="B121" s="24"/>
      <c r="C121" s="24"/>
      <c r="D121" s="24"/>
    </row>
    <row r="122" spans="1:4" x14ac:dyDescent="0.25">
      <c r="A122" s="24"/>
      <c r="B122" s="24"/>
      <c r="C122" s="24"/>
      <c r="D122" s="24"/>
    </row>
    <row r="123" spans="1:4" x14ac:dyDescent="0.25">
      <c r="A123" s="24"/>
      <c r="B123" s="24"/>
      <c r="C123" s="24"/>
      <c r="D123" s="24"/>
    </row>
    <row r="124" spans="1:4" x14ac:dyDescent="0.25">
      <c r="A124" s="24"/>
      <c r="B124" s="24"/>
      <c r="C124" s="24"/>
      <c r="D124" s="24"/>
    </row>
    <row r="125" spans="1:4" x14ac:dyDescent="0.25">
      <c r="A125" s="24"/>
      <c r="B125" s="24"/>
      <c r="C125" s="24"/>
      <c r="D125" s="24"/>
    </row>
    <row r="126" spans="1:4" x14ac:dyDescent="0.25">
      <c r="A126" s="24"/>
      <c r="B126" s="24"/>
      <c r="C126" s="24"/>
      <c r="D126" s="24"/>
    </row>
    <row r="127" spans="1:4" x14ac:dyDescent="0.25">
      <c r="A127" s="24"/>
      <c r="B127" s="24"/>
      <c r="C127" s="24"/>
      <c r="D127" s="24"/>
    </row>
    <row r="128" spans="1:4" x14ac:dyDescent="0.25">
      <c r="A128" s="24"/>
      <c r="B128" s="24"/>
      <c r="C128" s="24"/>
      <c r="D128" s="24"/>
    </row>
    <row r="129" spans="1:4" x14ac:dyDescent="0.25">
      <c r="A129" s="24"/>
      <c r="B129" s="24"/>
      <c r="C129" s="24"/>
      <c r="D129" s="24"/>
    </row>
    <row r="130" spans="1:4" x14ac:dyDescent="0.25">
      <c r="A130" s="24"/>
      <c r="B130" s="24"/>
      <c r="C130" s="24"/>
      <c r="D130" s="24"/>
    </row>
    <row r="131" spans="1:4" x14ac:dyDescent="0.25">
      <c r="A131" s="24"/>
      <c r="B131" s="24"/>
      <c r="C131" s="24"/>
      <c r="D131" s="24"/>
    </row>
    <row r="132" spans="1:4" x14ac:dyDescent="0.25">
      <c r="A132" s="24"/>
      <c r="B132" s="24"/>
      <c r="C132" s="24"/>
      <c r="D132" s="24"/>
    </row>
    <row r="133" spans="1:4" x14ac:dyDescent="0.25">
      <c r="A133" s="24"/>
      <c r="B133" s="24"/>
      <c r="C133" s="24"/>
      <c r="D133" s="24"/>
    </row>
    <row r="134" spans="1:4" x14ac:dyDescent="0.25">
      <c r="A134" s="24"/>
      <c r="B134" s="24"/>
      <c r="C134" s="24"/>
      <c r="D134" s="24"/>
    </row>
    <row r="135" spans="1:4" x14ac:dyDescent="0.25">
      <c r="A135" s="24"/>
      <c r="B135" s="24"/>
      <c r="C135" s="24"/>
      <c r="D135" s="24"/>
    </row>
    <row r="136" spans="1:4" x14ac:dyDescent="0.25">
      <c r="A136" s="24"/>
      <c r="B136" s="24"/>
      <c r="C136" s="24"/>
      <c r="D136" s="24"/>
    </row>
    <row r="137" spans="1:4" x14ac:dyDescent="0.25">
      <c r="A137" s="24"/>
      <c r="B137" s="24"/>
      <c r="C137" s="24"/>
      <c r="D137" s="24"/>
    </row>
    <row r="138" spans="1:4" x14ac:dyDescent="0.25">
      <c r="A138" s="24"/>
      <c r="B138" s="24"/>
      <c r="C138" s="24"/>
      <c r="D138" s="24"/>
    </row>
    <row r="139" spans="1:4" x14ac:dyDescent="0.25">
      <c r="A139" s="24"/>
      <c r="B139" s="24"/>
      <c r="C139" s="24"/>
      <c r="D139" s="24"/>
    </row>
    <row r="140" spans="1:4" x14ac:dyDescent="0.25">
      <c r="A140" s="24"/>
      <c r="B140" s="24"/>
      <c r="C140" s="24"/>
      <c r="D140" s="24"/>
    </row>
    <row r="141" spans="1:4" x14ac:dyDescent="0.25">
      <c r="A141" s="24"/>
      <c r="B141" s="24"/>
      <c r="C141" s="24"/>
      <c r="D141" s="24"/>
    </row>
    <row r="142" spans="1:4" x14ac:dyDescent="0.25">
      <c r="A142" s="24"/>
      <c r="B142" s="24"/>
      <c r="C142" s="24"/>
      <c r="D142" s="24"/>
    </row>
    <row r="143" spans="1:4" x14ac:dyDescent="0.25">
      <c r="A143" s="24"/>
      <c r="B143" s="24"/>
      <c r="C143" s="24"/>
      <c r="D143" s="24"/>
    </row>
    <row r="144" spans="1:4" x14ac:dyDescent="0.25">
      <c r="A144" s="24"/>
      <c r="B144" s="24"/>
      <c r="C144" s="24"/>
      <c r="D144" s="24"/>
    </row>
    <row r="145" spans="1:4" x14ac:dyDescent="0.25">
      <c r="A145" s="24"/>
      <c r="B145" s="24"/>
      <c r="C145" s="24"/>
      <c r="D145" s="24"/>
    </row>
    <row r="146" spans="1:4" x14ac:dyDescent="0.25">
      <c r="A146" s="24"/>
      <c r="B146" s="24"/>
      <c r="C146" s="24"/>
      <c r="D146" s="24"/>
    </row>
    <row r="147" spans="1:4" x14ac:dyDescent="0.25">
      <c r="A147" s="24"/>
      <c r="B147" s="24"/>
      <c r="C147" s="24"/>
      <c r="D147" s="24"/>
    </row>
    <row r="148" spans="1:4" x14ac:dyDescent="0.25">
      <c r="A148" s="24"/>
      <c r="B148" s="24"/>
      <c r="C148" s="24"/>
      <c r="D148" s="24"/>
    </row>
    <row r="149" spans="1:4" x14ac:dyDescent="0.25">
      <c r="A149" s="24"/>
      <c r="B149" s="24"/>
      <c r="C149" s="24"/>
      <c r="D149" s="24"/>
    </row>
    <row r="150" spans="1:4" x14ac:dyDescent="0.25">
      <c r="A150" s="24"/>
      <c r="B150" s="24"/>
      <c r="C150" s="24"/>
      <c r="D150" s="24"/>
    </row>
    <row r="151" spans="1:4" x14ac:dyDescent="0.25">
      <c r="A151" s="24"/>
      <c r="B151" s="24"/>
      <c r="C151" s="24"/>
      <c r="D151" s="24"/>
    </row>
    <row r="152" spans="1:4" x14ac:dyDescent="0.25">
      <c r="A152" s="24"/>
      <c r="B152" s="24"/>
      <c r="C152" s="24"/>
      <c r="D152" s="24"/>
    </row>
    <row r="153" spans="1:4" x14ac:dyDescent="0.25">
      <c r="A153" s="24"/>
      <c r="B153" s="24"/>
      <c r="C153" s="24"/>
      <c r="D153" s="24"/>
    </row>
    <row r="154" spans="1:4" x14ac:dyDescent="0.25">
      <c r="A154" s="24"/>
      <c r="B154" s="24"/>
      <c r="C154" s="24"/>
      <c r="D154" s="24"/>
    </row>
    <row r="155" spans="1:4" x14ac:dyDescent="0.25">
      <c r="A155" s="24"/>
      <c r="B155" s="24"/>
      <c r="C155" s="24"/>
      <c r="D155" s="24"/>
    </row>
    <row r="156" spans="1:4" x14ac:dyDescent="0.25">
      <c r="A156" s="24"/>
      <c r="B156" s="24"/>
      <c r="C156" s="24"/>
      <c r="D156" s="24"/>
    </row>
    <row r="157" spans="1:4" x14ac:dyDescent="0.25">
      <c r="A157" s="24"/>
      <c r="B157" s="24"/>
      <c r="C157" s="24"/>
      <c r="D157" s="24"/>
    </row>
    <row r="158" spans="1:4" x14ac:dyDescent="0.25">
      <c r="A158" s="24"/>
      <c r="B158" s="24"/>
      <c r="C158" s="24"/>
      <c r="D158" s="24"/>
    </row>
    <row r="159" spans="1:4" x14ac:dyDescent="0.25">
      <c r="A159" s="24"/>
      <c r="B159" s="24"/>
      <c r="C159" s="24"/>
      <c r="D159" s="24"/>
    </row>
    <row r="160" spans="1:4" x14ac:dyDescent="0.25">
      <c r="A160" s="24"/>
      <c r="B160" s="24"/>
      <c r="C160" s="24"/>
      <c r="D160" s="24"/>
    </row>
    <row r="161" spans="1:4" x14ac:dyDescent="0.25">
      <c r="A161" s="24"/>
      <c r="B161" s="24"/>
      <c r="C161" s="24"/>
      <c r="D161" s="24"/>
    </row>
    <row r="162" spans="1:4" x14ac:dyDescent="0.25">
      <c r="A162" s="24"/>
      <c r="B162" s="24"/>
      <c r="C162" s="24"/>
      <c r="D162" s="24"/>
    </row>
    <row r="163" spans="1:4" x14ac:dyDescent="0.25">
      <c r="A163" s="24"/>
      <c r="B163" s="24"/>
      <c r="C163" s="24"/>
      <c r="D163" s="24"/>
    </row>
    <row r="164" spans="1:4" x14ac:dyDescent="0.25">
      <c r="A164" s="24"/>
      <c r="B164" s="24"/>
      <c r="C164" s="24"/>
      <c r="D164" s="24"/>
    </row>
    <row r="165" spans="1:4" x14ac:dyDescent="0.25">
      <c r="A165" s="24"/>
      <c r="B165" s="24"/>
      <c r="C165" s="24"/>
      <c r="D165" s="24"/>
    </row>
    <row r="166" spans="1:4" x14ac:dyDescent="0.25">
      <c r="A166" s="24"/>
      <c r="B166" s="24"/>
      <c r="C166" s="24"/>
      <c r="D166" s="24"/>
    </row>
    <row r="167" spans="1:4" x14ac:dyDescent="0.25">
      <c r="A167" s="24"/>
      <c r="B167" s="24"/>
      <c r="C167" s="24"/>
      <c r="D167" s="24"/>
    </row>
    <row r="168" spans="1:4" x14ac:dyDescent="0.25">
      <c r="A168" s="24"/>
      <c r="B168" s="24"/>
      <c r="C168" s="24"/>
      <c r="D168" s="24"/>
    </row>
    <row r="169" spans="1:4" x14ac:dyDescent="0.25">
      <c r="A169" s="24"/>
      <c r="B169" s="24"/>
      <c r="C169" s="24"/>
      <c r="D169" s="24"/>
    </row>
    <row r="170" spans="1:4" x14ac:dyDescent="0.25">
      <c r="A170" s="24"/>
      <c r="B170" s="24"/>
      <c r="C170" s="24"/>
      <c r="D170" s="24"/>
    </row>
    <row r="171" spans="1:4" x14ac:dyDescent="0.25">
      <c r="A171" s="24"/>
      <c r="B171" s="24"/>
      <c r="C171" s="24"/>
      <c r="D171" s="24"/>
    </row>
    <row r="172" spans="1:4" x14ac:dyDescent="0.25">
      <c r="A172" s="24"/>
      <c r="B172" s="24"/>
      <c r="C172" s="24"/>
      <c r="D172" s="24"/>
    </row>
    <row r="173" spans="1:4" x14ac:dyDescent="0.25">
      <c r="A173" s="24"/>
      <c r="B173" s="24"/>
      <c r="C173" s="24"/>
      <c r="D173" s="24"/>
    </row>
    <row r="174" spans="1:4" x14ac:dyDescent="0.25">
      <c r="A174" s="24"/>
      <c r="B174" s="24"/>
      <c r="C174" s="24"/>
      <c r="D174" s="24"/>
    </row>
    <row r="175" spans="1:4" x14ac:dyDescent="0.25">
      <c r="A175" s="24"/>
      <c r="B175" s="24"/>
      <c r="C175" s="24"/>
      <c r="D175" s="24"/>
    </row>
  </sheetData>
  <sheetProtection password="D4C8" sheet="1" objects="1" scenarios="1"/>
  <mergeCells count="6">
    <mergeCell ref="A14:A15"/>
    <mergeCell ref="B14:B15"/>
    <mergeCell ref="C14:C15"/>
    <mergeCell ref="D14:D15"/>
    <mergeCell ref="A1:D1"/>
    <mergeCell ref="A2:C3"/>
  </mergeCells>
  <hyperlinks>
    <hyperlink ref="A1:H1" location="'Pressupostos do Trabalho'!A1" display="Voltar aos Pressupostos do Trabalho"/>
    <hyperlink ref="A1:D1" location="'Pressupostos do Trabalho'!A1" display="Voltar aos Pressupostos do Trabalho"/>
  </hyperlinks>
  <pageMargins left="0.7" right="0.7" top="0.75" bottom="0.75" header="0.3" footer="0.3"/>
  <pageSetup paperSize="9" scale="95" fitToWidth="0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workbookViewId="0">
      <selection activeCell="L24" sqref="L24"/>
    </sheetView>
  </sheetViews>
  <sheetFormatPr defaultRowHeight="15" x14ac:dyDescent="0.25"/>
  <cols>
    <col min="1" max="1" width="34.42578125" style="24" customWidth="1"/>
    <col min="2" max="2" width="9.140625" style="24"/>
    <col min="3" max="4" width="13.28515625" style="24" bestFit="1" customWidth="1"/>
    <col min="5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2" spans="1:4" x14ac:dyDescent="0.25">
      <c r="A2" s="29" t="s">
        <v>124</v>
      </c>
    </row>
    <row r="3" spans="1:4" x14ac:dyDescent="0.25">
      <c r="A3" s="29"/>
      <c r="D3" s="30" t="s">
        <v>85</v>
      </c>
    </row>
    <row r="4" spans="1:4" x14ac:dyDescent="0.25">
      <c r="A4" s="27"/>
      <c r="B4" s="16" t="s">
        <v>42</v>
      </c>
      <c r="C4" s="16">
        <v>2011</v>
      </c>
      <c r="D4" s="16">
        <v>2010</v>
      </c>
    </row>
    <row r="5" spans="1:4" x14ac:dyDescent="0.25">
      <c r="A5" s="19" t="s">
        <v>23</v>
      </c>
      <c r="B5" s="13"/>
      <c r="C5" s="31"/>
      <c r="D5" s="31"/>
    </row>
    <row r="6" spans="1:4" x14ac:dyDescent="0.25">
      <c r="A6" s="13" t="s">
        <v>24</v>
      </c>
      <c r="B6" s="13"/>
      <c r="C6" s="15">
        <v>1358893</v>
      </c>
      <c r="D6" s="15">
        <v>1445229</v>
      </c>
    </row>
    <row r="7" spans="1:4" x14ac:dyDescent="0.25">
      <c r="A7" s="13" t="s">
        <v>25</v>
      </c>
      <c r="B7" s="13"/>
      <c r="C7" s="15">
        <v>55091</v>
      </c>
      <c r="D7" s="15">
        <v>69933</v>
      </c>
    </row>
    <row r="8" spans="1:4" x14ac:dyDescent="0.25">
      <c r="A8" s="13" t="s">
        <v>26</v>
      </c>
      <c r="B8" s="13"/>
      <c r="C8" s="15">
        <v>2214162</v>
      </c>
      <c r="D8" s="15">
        <v>2188328</v>
      </c>
    </row>
    <row r="9" spans="1:4" x14ac:dyDescent="0.25">
      <c r="A9" s="13" t="s">
        <v>27</v>
      </c>
      <c r="B9" s="13"/>
      <c r="C9" s="15">
        <v>18289</v>
      </c>
      <c r="D9" s="15">
        <v>23083</v>
      </c>
    </row>
    <row r="10" spans="1:4" x14ac:dyDescent="0.25">
      <c r="A10" s="13" t="s">
        <v>28</v>
      </c>
      <c r="B10" s="13"/>
      <c r="C10" s="15">
        <v>28331</v>
      </c>
      <c r="D10" s="15">
        <v>13443</v>
      </c>
    </row>
    <row r="11" spans="1:4" x14ac:dyDescent="0.25">
      <c r="A11" s="13" t="s">
        <v>29</v>
      </c>
      <c r="B11" s="13"/>
      <c r="C11" s="15">
        <v>12322</v>
      </c>
      <c r="D11" s="15">
        <v>12496</v>
      </c>
    </row>
    <row r="12" spans="1:4" x14ac:dyDescent="0.25">
      <c r="A12" s="13" t="s">
        <v>30</v>
      </c>
      <c r="B12" s="13"/>
      <c r="C12" s="15">
        <v>36300</v>
      </c>
      <c r="D12" s="15">
        <v>33851</v>
      </c>
    </row>
    <row r="13" spans="1:4" x14ac:dyDescent="0.25">
      <c r="A13" s="13" t="s">
        <v>31</v>
      </c>
      <c r="B13" s="13"/>
      <c r="C13" s="15">
        <v>3561</v>
      </c>
      <c r="D13" s="15">
        <v>22218</v>
      </c>
    </row>
    <row r="14" spans="1:4" x14ac:dyDescent="0.25">
      <c r="A14" s="13" t="s">
        <v>32</v>
      </c>
      <c r="B14" s="13"/>
      <c r="C14" s="15">
        <v>139634</v>
      </c>
      <c r="D14" s="15">
        <v>128935</v>
      </c>
    </row>
    <row r="15" spans="1:4" x14ac:dyDescent="0.25">
      <c r="A15" s="21" t="s">
        <v>41</v>
      </c>
      <c r="B15" s="32"/>
      <c r="C15" s="23">
        <f>SUM(C6:C14)-1</f>
        <v>3866582</v>
      </c>
      <c r="D15" s="23">
        <f>SUM(D6:D14)</f>
        <v>3937516</v>
      </c>
    </row>
    <row r="16" spans="1:4" x14ac:dyDescent="0.25">
      <c r="A16" s="19" t="s">
        <v>33</v>
      </c>
      <c r="B16" s="13"/>
      <c r="C16" s="15"/>
      <c r="D16" s="15"/>
    </row>
    <row r="17" spans="1:6" x14ac:dyDescent="0.25">
      <c r="A17" s="13" t="s">
        <v>34</v>
      </c>
      <c r="B17" s="13"/>
      <c r="C17" s="15">
        <v>337354</v>
      </c>
      <c r="D17" s="15">
        <v>362008</v>
      </c>
    </row>
    <row r="18" spans="1:6" x14ac:dyDescent="0.25">
      <c r="A18" s="13" t="s">
        <v>35</v>
      </c>
      <c r="B18" s="13"/>
      <c r="C18" s="15">
        <v>282160</v>
      </c>
      <c r="D18" s="15">
        <v>284359</v>
      </c>
    </row>
    <row r="19" spans="1:6" x14ac:dyDescent="0.25">
      <c r="A19" s="13" t="s">
        <v>29</v>
      </c>
      <c r="B19" s="13"/>
      <c r="C19" s="15">
        <v>26916</v>
      </c>
      <c r="D19" s="15">
        <v>24713</v>
      </c>
    </row>
    <row r="20" spans="1:6" x14ac:dyDescent="0.25">
      <c r="A20" s="13" t="s">
        <v>30</v>
      </c>
      <c r="B20" s="13"/>
      <c r="C20" s="15">
        <v>62370</v>
      </c>
      <c r="D20" s="15">
        <v>60292</v>
      </c>
    </row>
    <row r="21" spans="1:6" x14ac:dyDescent="0.25">
      <c r="A21" s="13" t="s">
        <v>36</v>
      </c>
      <c r="B21" s="13"/>
      <c r="C21" s="15">
        <v>610430</v>
      </c>
      <c r="D21" s="15">
        <v>659678</v>
      </c>
    </row>
    <row r="22" spans="1:6" x14ac:dyDescent="0.25">
      <c r="A22" s="13" t="s">
        <v>37</v>
      </c>
      <c r="B22" s="13"/>
      <c r="C22" s="15">
        <v>10409</v>
      </c>
      <c r="D22" s="15">
        <v>22314</v>
      </c>
    </row>
    <row r="23" spans="1:6" x14ac:dyDescent="0.25">
      <c r="A23" s="16" t="s">
        <v>43</v>
      </c>
      <c r="B23" s="33"/>
      <c r="C23" s="18">
        <f>SUM(C17:C22)-1</f>
        <v>1329638</v>
      </c>
      <c r="D23" s="18">
        <f>SUM(D17:D22)</f>
        <v>1413364</v>
      </c>
    </row>
    <row r="24" spans="1:6" x14ac:dyDescent="0.25">
      <c r="A24" s="13" t="s">
        <v>38</v>
      </c>
      <c r="B24" s="13"/>
      <c r="C24" s="15">
        <v>40818</v>
      </c>
      <c r="D24" s="15">
        <v>34000</v>
      </c>
    </row>
    <row r="25" spans="1:6" x14ac:dyDescent="0.25">
      <c r="A25" s="16" t="s">
        <v>40</v>
      </c>
      <c r="B25" s="33"/>
      <c r="C25" s="18">
        <f>C23+C24+1</f>
        <v>1370457</v>
      </c>
      <c r="D25" s="18">
        <f>D23+D24</f>
        <v>1447364</v>
      </c>
      <c r="F25" s="34"/>
    </row>
    <row r="26" spans="1:6" x14ac:dyDescent="0.25">
      <c r="A26" s="35" t="s">
        <v>39</v>
      </c>
      <c r="B26" s="36"/>
      <c r="C26" s="37">
        <f>C15+C25-1</f>
        <v>5237038</v>
      </c>
      <c r="D26" s="37">
        <f>D15+D25</f>
        <v>5384880</v>
      </c>
    </row>
    <row r="27" spans="1:6" x14ac:dyDescent="0.25">
      <c r="A27" s="19" t="s">
        <v>44</v>
      </c>
      <c r="B27" s="13"/>
      <c r="C27" s="15"/>
      <c r="D27" s="15"/>
    </row>
    <row r="28" spans="1:6" x14ac:dyDescent="0.25">
      <c r="A28" s="13" t="s">
        <v>45</v>
      </c>
      <c r="B28" s="13"/>
      <c r="C28" s="15">
        <v>672000</v>
      </c>
      <c r="D28" s="15">
        <f>C28</f>
        <v>672000</v>
      </c>
    </row>
    <row r="29" spans="1:6" x14ac:dyDescent="0.25">
      <c r="A29" s="13" t="s">
        <v>46</v>
      </c>
      <c r="B29" s="13"/>
      <c r="C29" s="15">
        <v>-29055</v>
      </c>
      <c r="D29" s="15">
        <v>-32986</v>
      </c>
    </row>
    <row r="30" spans="1:6" x14ac:dyDescent="0.25">
      <c r="A30" s="13" t="s">
        <v>47</v>
      </c>
      <c r="B30" s="13"/>
      <c r="C30" s="15">
        <v>46043</v>
      </c>
      <c r="D30" s="15">
        <v>256337</v>
      </c>
    </row>
    <row r="31" spans="1:6" x14ac:dyDescent="0.25">
      <c r="A31" s="13" t="s">
        <v>48</v>
      </c>
      <c r="B31" s="13"/>
      <c r="C31" s="15">
        <v>273717</v>
      </c>
      <c r="D31" s="15">
        <v>280678</v>
      </c>
    </row>
    <row r="32" spans="1:6" x14ac:dyDescent="0.25">
      <c r="A32" s="13" t="s">
        <v>49</v>
      </c>
      <c r="B32" s="13"/>
      <c r="C32" s="15">
        <v>822052</v>
      </c>
      <c r="D32" s="15">
        <v>714928</v>
      </c>
    </row>
    <row r="33" spans="1:4" x14ac:dyDescent="0.25">
      <c r="A33" s="13" t="s">
        <v>16</v>
      </c>
      <c r="B33" s="13"/>
      <c r="C33" s="15">
        <v>198132</v>
      </c>
      <c r="D33" s="15">
        <v>241837</v>
      </c>
    </row>
    <row r="34" spans="1:4" x14ac:dyDescent="0.25">
      <c r="A34" s="35" t="s">
        <v>51</v>
      </c>
      <c r="B34" s="36"/>
      <c r="C34" s="37">
        <f>SUM(C28:C33)+1</f>
        <v>1982890</v>
      </c>
      <c r="D34" s="37">
        <f>SUM(D28:D33)</f>
        <v>2132794</v>
      </c>
    </row>
    <row r="35" spans="1:4" x14ac:dyDescent="0.25">
      <c r="A35" s="165" t="s">
        <v>52</v>
      </c>
      <c r="B35" s="158"/>
      <c r="C35" s="160">
        <v>101451</v>
      </c>
      <c r="D35" s="160">
        <v>97437</v>
      </c>
    </row>
    <row r="36" spans="1:4" x14ac:dyDescent="0.25">
      <c r="A36" s="166"/>
      <c r="B36" s="159"/>
      <c r="C36" s="161"/>
      <c r="D36" s="161"/>
    </row>
    <row r="37" spans="1:4" x14ac:dyDescent="0.25">
      <c r="A37" s="21" t="s">
        <v>50</v>
      </c>
      <c r="B37" s="32"/>
      <c r="C37" s="23">
        <f>C34+C35</f>
        <v>2084341</v>
      </c>
      <c r="D37" s="23">
        <f>D34+D35</f>
        <v>2230231</v>
      </c>
    </row>
    <row r="38" spans="1:4" x14ac:dyDescent="0.25">
      <c r="A38" s="19" t="s">
        <v>53</v>
      </c>
      <c r="B38" s="13"/>
      <c r="C38" s="15"/>
      <c r="D38" s="15"/>
    </row>
    <row r="39" spans="1:4" x14ac:dyDescent="0.25">
      <c r="A39" s="38" t="s">
        <v>54</v>
      </c>
      <c r="B39" s="13"/>
      <c r="C39" s="15">
        <v>265055</v>
      </c>
      <c r="D39" s="15">
        <v>272800</v>
      </c>
    </row>
    <row r="40" spans="1:4" x14ac:dyDescent="0.25">
      <c r="A40" s="38" t="s">
        <v>55</v>
      </c>
      <c r="B40" s="13"/>
      <c r="C40" s="15">
        <v>18857</v>
      </c>
      <c r="D40" s="15">
        <v>19071</v>
      </c>
    </row>
    <row r="41" spans="1:4" x14ac:dyDescent="0.25">
      <c r="A41" s="38" t="s">
        <v>3</v>
      </c>
      <c r="B41" s="13"/>
      <c r="C41" s="15">
        <v>198370</v>
      </c>
      <c r="D41" s="15">
        <v>170828</v>
      </c>
    </row>
    <row r="42" spans="1:4" x14ac:dyDescent="0.25">
      <c r="A42" s="38" t="s">
        <v>56</v>
      </c>
      <c r="B42" s="13"/>
      <c r="C42" s="15">
        <v>1634525</v>
      </c>
      <c r="D42" s="15">
        <v>1253345</v>
      </c>
    </row>
    <row r="43" spans="1:4" x14ac:dyDescent="0.25">
      <c r="A43" s="38" t="s">
        <v>57</v>
      </c>
      <c r="B43" s="13"/>
      <c r="C43" s="15">
        <v>16791</v>
      </c>
      <c r="D43" s="15">
        <v>3072</v>
      </c>
    </row>
    <row r="44" spans="1:4" x14ac:dyDescent="0.25">
      <c r="A44" s="38" t="s">
        <v>58</v>
      </c>
      <c r="B44" s="13"/>
      <c r="C44" s="15">
        <v>19656</v>
      </c>
      <c r="D44" s="15">
        <v>26191</v>
      </c>
    </row>
    <row r="45" spans="1:4" x14ac:dyDescent="0.25">
      <c r="A45" s="38" t="s">
        <v>30</v>
      </c>
      <c r="B45" s="13"/>
      <c r="C45" s="15">
        <v>1</v>
      </c>
      <c r="D45" s="15">
        <v>521</v>
      </c>
    </row>
    <row r="46" spans="1:4" x14ac:dyDescent="0.25">
      <c r="A46" s="38" t="s">
        <v>59</v>
      </c>
      <c r="B46" s="13"/>
      <c r="C46" s="15">
        <v>44537</v>
      </c>
      <c r="D46" s="15">
        <v>79995</v>
      </c>
    </row>
    <row r="47" spans="1:4" x14ac:dyDescent="0.25">
      <c r="A47" s="21" t="s">
        <v>60</v>
      </c>
      <c r="B47" s="32"/>
      <c r="C47" s="23">
        <f>SUM(C39:C46)+1</f>
        <v>2197793</v>
      </c>
      <c r="D47" s="23">
        <f>SUM(D39:D46)-1</f>
        <v>1825822</v>
      </c>
    </row>
    <row r="48" spans="1:4" x14ac:dyDescent="0.25">
      <c r="A48" s="39" t="s">
        <v>61</v>
      </c>
      <c r="B48" s="13"/>
      <c r="C48" s="15"/>
      <c r="D48" s="15"/>
    </row>
    <row r="49" spans="1:4" x14ac:dyDescent="0.25">
      <c r="A49" s="40" t="s">
        <v>55</v>
      </c>
      <c r="B49" s="13"/>
      <c r="C49" s="15">
        <v>4711</v>
      </c>
      <c r="D49" s="15">
        <v>4236</v>
      </c>
    </row>
    <row r="50" spans="1:4" x14ac:dyDescent="0.25">
      <c r="A50" s="38" t="s">
        <v>3</v>
      </c>
      <c r="B50" s="13"/>
      <c r="C50" s="15">
        <v>1080</v>
      </c>
      <c r="D50" s="15">
        <v>1101</v>
      </c>
    </row>
    <row r="51" spans="1:4" x14ac:dyDescent="0.25">
      <c r="A51" s="38" t="s">
        <v>56</v>
      </c>
      <c r="B51" s="13"/>
      <c r="C51" s="15">
        <v>553579</v>
      </c>
      <c r="D51" s="15">
        <v>934629</v>
      </c>
    </row>
    <row r="52" spans="1:4" x14ac:dyDescent="0.25">
      <c r="A52" s="38" t="s">
        <v>57</v>
      </c>
      <c r="B52" s="13"/>
      <c r="C52" s="15">
        <v>2915</v>
      </c>
      <c r="D52" s="15">
        <v>3092</v>
      </c>
    </row>
    <row r="53" spans="1:4" x14ac:dyDescent="0.25">
      <c r="A53" s="38" t="s">
        <v>62</v>
      </c>
      <c r="B53" s="13"/>
      <c r="C53" s="15">
        <v>192464</v>
      </c>
      <c r="D53" s="15">
        <v>199370</v>
      </c>
    </row>
    <row r="54" spans="1:4" x14ac:dyDescent="0.25">
      <c r="A54" s="38" t="s">
        <v>58</v>
      </c>
      <c r="B54" s="13"/>
      <c r="C54" s="15">
        <v>72905</v>
      </c>
      <c r="D54" s="15">
        <v>73851</v>
      </c>
    </row>
    <row r="55" spans="1:4" x14ac:dyDescent="0.25">
      <c r="A55" s="38" t="s">
        <v>30</v>
      </c>
      <c r="B55" s="13"/>
      <c r="C55" s="15">
        <v>67772</v>
      </c>
      <c r="D55" s="15">
        <v>44166</v>
      </c>
    </row>
    <row r="56" spans="1:4" x14ac:dyDescent="0.25">
      <c r="A56" s="38" t="s">
        <v>63</v>
      </c>
      <c r="B56" s="13"/>
      <c r="C56" s="15">
        <v>59479</v>
      </c>
      <c r="D56" s="15">
        <v>68381</v>
      </c>
    </row>
    <row r="57" spans="1:4" x14ac:dyDescent="0.25">
      <c r="A57" s="21" t="s">
        <v>64</v>
      </c>
      <c r="B57" s="32"/>
      <c r="C57" s="23">
        <f>SUM(C49:C56)</f>
        <v>954905</v>
      </c>
      <c r="D57" s="23">
        <f>SUM(D49:D56)+1</f>
        <v>1328827</v>
      </c>
    </row>
    <row r="58" spans="1:4" x14ac:dyDescent="0.25">
      <c r="A58" s="21" t="s">
        <v>65</v>
      </c>
      <c r="B58" s="32"/>
      <c r="C58" s="23">
        <f>C47+C57-1</f>
        <v>3152697</v>
      </c>
      <c r="D58" s="23">
        <f>D47+D57</f>
        <v>3154649</v>
      </c>
    </row>
    <row r="59" spans="1:4" x14ac:dyDescent="0.25">
      <c r="A59" s="21" t="s">
        <v>66</v>
      </c>
      <c r="B59" s="32"/>
      <c r="C59" s="23">
        <f>C37+C58</f>
        <v>5237038</v>
      </c>
      <c r="D59" s="23">
        <f>D37+D58</f>
        <v>5384880</v>
      </c>
    </row>
  </sheetData>
  <sheetProtection password="D4C8" sheet="1" objects="1" scenarios="1"/>
  <mergeCells count="5">
    <mergeCell ref="A35:A36"/>
    <mergeCell ref="B35:B36"/>
    <mergeCell ref="C35:C36"/>
    <mergeCell ref="D35:D36"/>
    <mergeCell ref="A1:D1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opLeftCell="A25" workbookViewId="0">
      <selection activeCell="L24" sqref="L24"/>
    </sheetView>
  </sheetViews>
  <sheetFormatPr defaultRowHeight="15" x14ac:dyDescent="0.25"/>
  <cols>
    <col min="1" max="1" width="39" style="24" customWidth="1"/>
    <col min="2" max="2" width="19.140625" style="24" customWidth="1"/>
    <col min="3" max="16384" width="9.140625" style="24"/>
  </cols>
  <sheetData>
    <row r="1" spans="1:7" x14ac:dyDescent="0.25">
      <c r="A1" s="167" t="s">
        <v>79</v>
      </c>
      <c r="B1" s="167"/>
      <c r="C1" s="167"/>
      <c r="D1" s="167"/>
      <c r="E1" s="27"/>
      <c r="F1" s="41"/>
      <c r="G1" s="41"/>
    </row>
    <row r="2" spans="1:7" x14ac:dyDescent="0.25">
      <c r="A2" s="42"/>
      <c r="B2" s="42"/>
      <c r="C2" s="42"/>
      <c r="D2" s="42"/>
      <c r="E2" s="27"/>
      <c r="F2" s="41"/>
      <c r="G2" s="41"/>
    </row>
    <row r="3" spans="1:7" x14ac:dyDescent="0.25">
      <c r="A3" s="27"/>
      <c r="B3" s="27"/>
      <c r="C3" s="27"/>
      <c r="D3" s="27"/>
      <c r="E3" s="27"/>
      <c r="F3" s="41"/>
      <c r="G3" s="41"/>
    </row>
    <row r="4" spans="1:7" x14ac:dyDescent="0.25">
      <c r="A4" s="27"/>
      <c r="B4" s="27"/>
      <c r="C4" s="27"/>
      <c r="D4" s="27"/>
      <c r="E4" s="27"/>
      <c r="F4" s="41"/>
      <c r="G4" s="41"/>
    </row>
    <row r="5" spans="1:7" x14ac:dyDescent="0.25">
      <c r="A5" s="43" t="s">
        <v>123</v>
      </c>
      <c r="B5" s="44"/>
      <c r="C5" s="44"/>
      <c r="D5" s="44"/>
      <c r="E5" s="44"/>
      <c r="F5" s="45"/>
      <c r="G5" s="45"/>
    </row>
    <row r="6" spans="1:7" x14ac:dyDescent="0.25">
      <c r="A6" s="27"/>
      <c r="B6" s="27"/>
      <c r="C6" s="27"/>
      <c r="D6" s="27"/>
      <c r="E6" s="27"/>
      <c r="F6" s="41"/>
      <c r="G6" s="41"/>
    </row>
    <row r="7" spans="1:7" x14ac:dyDescent="0.25">
      <c r="A7" s="26" t="s">
        <v>67</v>
      </c>
      <c r="B7" s="26" t="s">
        <v>84</v>
      </c>
      <c r="C7" s="27"/>
      <c r="D7" s="27"/>
      <c r="E7" s="27"/>
      <c r="F7" s="41"/>
      <c r="G7" s="41"/>
    </row>
    <row r="8" spans="1:7" x14ac:dyDescent="0.25">
      <c r="A8" s="26" t="s">
        <v>68</v>
      </c>
      <c r="B8" s="46">
        <f>Balanço!C26</f>
        <v>5237038</v>
      </c>
      <c r="C8" s="27"/>
      <c r="D8" s="27"/>
      <c r="E8" s="27"/>
      <c r="F8" s="41"/>
      <c r="G8" s="41"/>
    </row>
    <row r="9" spans="1:7" x14ac:dyDescent="0.25">
      <c r="A9" s="26" t="s">
        <v>69</v>
      </c>
      <c r="B9" s="46">
        <f>Balanço!C37</f>
        <v>2084341</v>
      </c>
      <c r="C9" s="27"/>
      <c r="D9" s="27"/>
      <c r="E9" s="27"/>
      <c r="F9" s="41"/>
      <c r="G9" s="41"/>
    </row>
    <row r="10" spans="1:7" x14ac:dyDescent="0.25">
      <c r="A10" s="27"/>
      <c r="B10" s="27"/>
      <c r="C10" s="27"/>
      <c r="D10" s="27"/>
      <c r="E10" s="27"/>
      <c r="F10" s="41"/>
      <c r="G10" s="41"/>
    </row>
    <row r="11" spans="1:7" x14ac:dyDescent="0.25">
      <c r="A11" s="43" t="s">
        <v>80</v>
      </c>
      <c r="B11" s="44"/>
      <c r="C11" s="44"/>
      <c r="D11" s="44"/>
      <c r="E11" s="44"/>
      <c r="F11" s="45"/>
      <c r="G11" s="45"/>
    </row>
    <row r="12" spans="1:7" x14ac:dyDescent="0.25">
      <c r="A12" s="27"/>
      <c r="B12" s="27"/>
      <c r="C12" s="27"/>
      <c r="D12" s="27"/>
      <c r="E12" s="27"/>
      <c r="F12" s="41"/>
      <c r="G12" s="41"/>
    </row>
    <row r="13" spans="1:7" x14ac:dyDescent="0.25">
      <c r="A13" s="26" t="s">
        <v>81</v>
      </c>
      <c r="B13" s="26" t="s">
        <v>84</v>
      </c>
      <c r="C13" s="27"/>
      <c r="D13" s="27"/>
      <c r="E13" s="27"/>
      <c r="F13" s="41"/>
      <c r="G13" s="41"/>
    </row>
    <row r="14" spans="1:7" x14ac:dyDescent="0.25">
      <c r="A14" s="26" t="s">
        <v>82</v>
      </c>
      <c r="B14" s="47">
        <f>Balanço!C26-Balanço!C24</f>
        <v>5196220</v>
      </c>
      <c r="C14" s="27"/>
      <c r="D14" s="27"/>
      <c r="E14" s="27"/>
      <c r="F14" s="41"/>
      <c r="G14" s="41"/>
    </row>
    <row r="15" spans="1:7" x14ac:dyDescent="0.25">
      <c r="A15" s="26" t="s">
        <v>83</v>
      </c>
      <c r="B15" s="47">
        <f>B14-Balanço!C58</f>
        <v>2043523</v>
      </c>
      <c r="C15" s="27"/>
      <c r="D15" s="27"/>
      <c r="E15" s="27"/>
      <c r="F15" s="41"/>
      <c r="G15" s="41"/>
    </row>
    <row r="16" spans="1:7" x14ac:dyDescent="0.25">
      <c r="A16" s="27"/>
      <c r="B16" s="27"/>
      <c r="C16" s="27"/>
      <c r="D16" s="27"/>
      <c r="E16" s="27"/>
      <c r="F16" s="41"/>
      <c r="G16" s="41"/>
    </row>
    <row r="17" spans="1:7" x14ac:dyDescent="0.25">
      <c r="A17" s="168" t="s">
        <v>180</v>
      </c>
      <c r="B17" s="168"/>
      <c r="C17" s="168"/>
      <c r="D17" s="168"/>
      <c r="E17" s="48"/>
      <c r="F17" s="49"/>
      <c r="G17" s="45"/>
    </row>
    <row r="18" spans="1:7" x14ac:dyDescent="0.25">
      <c r="A18" s="168"/>
      <c r="B18" s="168"/>
      <c r="C18" s="168"/>
      <c r="D18" s="168"/>
      <c r="E18" s="48"/>
      <c r="F18" s="49"/>
      <c r="G18" s="45"/>
    </row>
    <row r="19" spans="1:7" x14ac:dyDescent="0.25">
      <c r="A19" s="50" t="s">
        <v>167</v>
      </c>
      <c r="B19" s="26"/>
      <c r="C19" s="27"/>
      <c r="D19" s="27"/>
      <c r="E19" s="27"/>
      <c r="F19" s="41"/>
      <c r="G19" s="41"/>
    </row>
    <row r="20" spans="1:7" x14ac:dyDescent="0.25">
      <c r="A20" s="50" t="s">
        <v>168</v>
      </c>
      <c r="B20" s="47" t="s">
        <v>170</v>
      </c>
      <c r="C20" s="27"/>
      <c r="D20" s="27"/>
      <c r="E20" s="27"/>
      <c r="F20" s="41"/>
      <c r="G20" s="41"/>
    </row>
    <row r="21" spans="1:7" x14ac:dyDescent="0.25">
      <c r="A21" s="51" t="s">
        <v>169</v>
      </c>
      <c r="B21" s="47">
        <f>Balanço!C37</f>
        <v>2084341</v>
      </c>
      <c r="C21" s="27"/>
      <c r="D21" s="27"/>
      <c r="E21" s="27"/>
      <c r="F21" s="41"/>
      <c r="G21" s="41"/>
    </row>
    <row r="22" spans="1:7" x14ac:dyDescent="0.25">
      <c r="A22" s="50" t="str">
        <f>Balanço!A38</f>
        <v>Passivos Não Correntes:</v>
      </c>
      <c r="B22" s="47"/>
      <c r="C22" s="27"/>
      <c r="D22" s="27"/>
      <c r="E22" s="27"/>
      <c r="F22" s="41"/>
      <c r="G22" s="41"/>
    </row>
    <row r="23" spans="1:7" x14ac:dyDescent="0.25">
      <c r="A23" s="27" t="str">
        <f>Balanço!A39</f>
        <v>Passivos por impostos diferidos</v>
      </c>
      <c r="B23" s="47">
        <f>Balanço!C39</f>
        <v>265055</v>
      </c>
      <c r="C23" s="27"/>
      <c r="D23" s="27"/>
      <c r="E23" s="27"/>
      <c r="F23" s="41"/>
      <c r="G23" s="41"/>
    </row>
    <row r="24" spans="1:7" x14ac:dyDescent="0.25">
      <c r="A24" s="27" t="str">
        <f>Balanço!A40</f>
        <v>Beneficios pós-emprego</v>
      </c>
      <c r="B24" s="47">
        <f>Balanço!C40</f>
        <v>18857</v>
      </c>
      <c r="C24" s="27"/>
      <c r="D24" s="27"/>
      <c r="E24" s="27"/>
      <c r="F24" s="41"/>
      <c r="G24" s="41"/>
    </row>
    <row r="25" spans="1:7" x14ac:dyDescent="0.25">
      <c r="A25" s="27" t="str">
        <f>Balanço!A41</f>
        <v>Provisões</v>
      </c>
      <c r="B25" s="47">
        <f>Balanço!C41</f>
        <v>198370</v>
      </c>
      <c r="C25" s="27"/>
      <c r="D25" s="27"/>
      <c r="E25" s="27"/>
      <c r="F25" s="41"/>
      <c r="G25" s="41"/>
    </row>
    <row r="26" spans="1:7" x14ac:dyDescent="0.25">
      <c r="A26" s="27" t="str">
        <f>Balanço!A42</f>
        <v>Empréstimos</v>
      </c>
      <c r="B26" s="47">
        <f>Balanço!C42</f>
        <v>1634525</v>
      </c>
      <c r="C26" s="27"/>
      <c r="D26" s="27"/>
      <c r="E26" s="27"/>
    </row>
    <row r="27" spans="1:7" x14ac:dyDescent="0.25">
      <c r="A27" s="27" t="str">
        <f>Balanço!A43</f>
        <v>Locações financeiras</v>
      </c>
      <c r="B27" s="47">
        <f>Balanço!C43</f>
        <v>16791</v>
      </c>
      <c r="E27" s="27"/>
    </row>
    <row r="28" spans="1:7" x14ac:dyDescent="0.25">
      <c r="A28" s="27" t="str">
        <f>Balanço!A44</f>
        <v>Outras dívidas a terceiros</v>
      </c>
      <c r="B28" s="47">
        <f>Balanço!C44</f>
        <v>19656</v>
      </c>
      <c r="E28" s="27"/>
    </row>
    <row r="29" spans="1:7" x14ac:dyDescent="0.25">
      <c r="A29" s="27" t="str">
        <f>Balanço!A45</f>
        <v>Estado e outros entes públicos</v>
      </c>
      <c r="B29" s="47">
        <f>Balanço!C45</f>
        <v>1</v>
      </c>
      <c r="E29" s="27"/>
    </row>
    <row r="30" spans="1:7" x14ac:dyDescent="0.25">
      <c r="A30" s="27" t="str">
        <f>Balanço!A46</f>
        <v>Outros passivos não correntes</v>
      </c>
      <c r="B30" s="47">
        <f>Balanço!C46</f>
        <v>44537</v>
      </c>
      <c r="E30" s="27"/>
    </row>
    <row r="31" spans="1:7" ht="15.75" thickBot="1" x14ac:dyDescent="0.3">
      <c r="A31" s="52" t="s">
        <v>171</v>
      </c>
      <c r="B31" s="53">
        <f>SUM(B23:B30)</f>
        <v>2197792</v>
      </c>
      <c r="E31" s="27"/>
    </row>
    <row r="32" spans="1:7" ht="15.75" thickTop="1" x14ac:dyDescent="0.25">
      <c r="A32" s="54" t="s">
        <v>172</v>
      </c>
      <c r="B32" s="55">
        <f>B21+Tabela3[[#Totals],[Unidade: (10³€)]]</f>
        <v>4282133</v>
      </c>
      <c r="E32" s="27"/>
    </row>
    <row r="33" spans="1:2" x14ac:dyDescent="0.25">
      <c r="A33" s="56" t="s">
        <v>174</v>
      </c>
      <c r="B33" s="57"/>
    </row>
    <row r="34" spans="1:2" x14ac:dyDescent="0.25">
      <c r="A34" s="58" t="str">
        <f>Balanço!A7</f>
        <v>Ativos intangíveis</v>
      </c>
      <c r="B34" s="59">
        <f>Balanço!C7</f>
        <v>55091</v>
      </c>
    </row>
    <row r="35" spans="1:2" ht="15.75" thickBot="1" x14ac:dyDescent="0.3">
      <c r="A35" s="60" t="str">
        <f>Balanço!A8</f>
        <v>Ativos fixos tangíveis</v>
      </c>
      <c r="B35" s="61">
        <f>Balanço!C8</f>
        <v>2214162</v>
      </c>
    </row>
    <row r="36" spans="1:2" ht="16.5" thickTop="1" thickBot="1" x14ac:dyDescent="0.3">
      <c r="A36" s="54" t="s">
        <v>175</v>
      </c>
      <c r="B36" s="55">
        <f>SUM(B34:B35)</f>
        <v>2269253</v>
      </c>
    </row>
    <row r="37" spans="1:2" ht="15.75" thickTop="1" x14ac:dyDescent="0.25">
      <c r="A37" s="54" t="s">
        <v>181</v>
      </c>
      <c r="B37" s="55">
        <f>B32-B36</f>
        <v>2012880</v>
      </c>
    </row>
    <row r="38" spans="1:2" x14ac:dyDescent="0.25">
      <c r="A38" s="62" t="s">
        <v>173</v>
      </c>
      <c r="B38" s="63"/>
    </row>
    <row r="39" spans="1:2" x14ac:dyDescent="0.25">
      <c r="A39" s="64" t="str">
        <f>Balanço!A17</f>
        <v>Existências</v>
      </c>
      <c r="B39" s="65">
        <f>Balanço!C17</f>
        <v>337354</v>
      </c>
    </row>
    <row r="40" spans="1:2" x14ac:dyDescent="0.25">
      <c r="A40" s="66" t="str">
        <f>Balanço!A18</f>
        <v>Clientes e adiantamentos a fornecedores</v>
      </c>
      <c r="B40" s="67">
        <f>Balanço!C18</f>
        <v>282160</v>
      </c>
    </row>
    <row r="41" spans="1:2" ht="15.75" thickBot="1" x14ac:dyDescent="0.3">
      <c r="A41" s="66" t="str">
        <f>Balanço!A20</f>
        <v>Estado e outros entes públicos</v>
      </c>
      <c r="B41" s="67">
        <f>Balanço!C20</f>
        <v>62370</v>
      </c>
    </row>
    <row r="42" spans="1:2" ht="15.75" thickTop="1" x14ac:dyDescent="0.25">
      <c r="A42" s="54" t="s">
        <v>176</v>
      </c>
      <c r="B42" s="55">
        <f>SUM(B39:B41)</f>
        <v>681884</v>
      </c>
    </row>
    <row r="43" spans="1:2" x14ac:dyDescent="0.25">
      <c r="A43" s="62" t="s">
        <v>177</v>
      </c>
      <c r="B43" s="63"/>
    </row>
    <row r="44" spans="1:2" x14ac:dyDescent="0.25">
      <c r="A44" s="64" t="str">
        <f>Balanço!A53</f>
        <v>Fornecedores e adiantamentos de clientes</v>
      </c>
      <c r="B44" s="65">
        <f>Balanço!C53</f>
        <v>192464</v>
      </c>
    </row>
    <row r="45" spans="1:2" ht="15.75" thickBot="1" x14ac:dyDescent="0.3">
      <c r="A45" s="64" t="str">
        <f>Balanço!A55</f>
        <v>Estado e outros entes públicos</v>
      </c>
      <c r="B45" s="65">
        <f>Balanço!C55</f>
        <v>67772</v>
      </c>
    </row>
    <row r="46" spans="1:2" ht="16.5" thickTop="1" thickBot="1" x14ac:dyDescent="0.3">
      <c r="A46" s="54" t="s">
        <v>178</v>
      </c>
      <c r="B46" s="55">
        <f>SUM(B44:B45)</f>
        <v>260236</v>
      </c>
    </row>
    <row r="47" spans="1:2" ht="16.5" thickTop="1" thickBot="1" x14ac:dyDescent="0.3">
      <c r="A47" s="54" t="s">
        <v>179</v>
      </c>
      <c r="B47" s="55">
        <f>B42-B46</f>
        <v>421648</v>
      </c>
    </row>
    <row r="48" spans="1:2" ht="15.75" thickTop="1" x14ac:dyDescent="0.25">
      <c r="A48" s="54" t="s">
        <v>182</v>
      </c>
      <c r="B48" s="55">
        <f>B37-B47</f>
        <v>1591232</v>
      </c>
    </row>
    <row r="50" spans="1:2" x14ac:dyDescent="0.25">
      <c r="A50" s="26" t="s">
        <v>67</v>
      </c>
      <c r="B50" s="26" t="s">
        <v>84</v>
      </c>
    </row>
    <row r="51" spans="1:2" x14ac:dyDescent="0.25">
      <c r="A51" s="26" t="str">
        <f>A8</f>
        <v>Entidade</v>
      </c>
      <c r="B51" s="46">
        <f>Balanço!C8+'Modelo Património 2011'!B47+'Modelo Património 2011'!B48</f>
        <v>4227042</v>
      </c>
    </row>
    <row r="52" spans="1:2" x14ac:dyDescent="0.25">
      <c r="A52" s="26" t="str">
        <f>A9</f>
        <v>Investidor</v>
      </c>
      <c r="B52" s="46">
        <f>B51-Balanço!C47</f>
        <v>2029249</v>
      </c>
    </row>
  </sheetData>
  <sheetProtection password="D4C8" sheet="1" objects="1" scenarios="1"/>
  <mergeCells count="2">
    <mergeCell ref="A17:D18"/>
    <mergeCell ref="A1:D1"/>
  </mergeCells>
  <conditionalFormatting sqref="B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9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B52">
    <cfRule type="iconSet" priority="1">
      <iconSet iconSet="3TrafficLights2">
        <cfvo type="percent" val="0"/>
        <cfvo type="percent" val="33"/>
        <cfvo type="percent" val="67"/>
      </iconSet>
    </cfRule>
  </conditionalFormatting>
  <hyperlinks>
    <hyperlink ref="A1:D1" location="'Pressupostos do Trabalho'!A1" display="Voltar aos Pressupostos do Trabalho"/>
  </hyperlinks>
  <pageMargins left="0.7" right="0.7" top="0.75" bottom="0.75" header="0.3" footer="0.3"/>
  <pageSetup paperSize="9" scale="87" fitToWidth="0" fitToHeight="0" orientation="portrait" horizontalDpi="4294967293" r:id="rId1"/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showGridLines="0" topLeftCell="A9" workbookViewId="0">
      <selection activeCell="L24" sqref="L24"/>
    </sheetView>
  </sheetViews>
  <sheetFormatPr defaultRowHeight="15" x14ac:dyDescent="0.25"/>
  <cols>
    <col min="1" max="1" width="43" style="24" customWidth="1"/>
    <col min="2" max="2" width="13.7109375" style="24" bestFit="1" customWidth="1"/>
    <col min="3" max="16384" width="9.140625" style="24"/>
  </cols>
  <sheetData>
    <row r="1" spans="1:5" x14ac:dyDescent="0.25">
      <c r="A1" s="167" t="s">
        <v>79</v>
      </c>
      <c r="B1" s="167"/>
      <c r="C1" s="167"/>
      <c r="D1" s="167"/>
    </row>
    <row r="2" spans="1:5" x14ac:dyDescent="0.25">
      <c r="A2" s="42"/>
      <c r="B2" s="42"/>
      <c r="C2" s="42"/>
      <c r="D2" s="42"/>
    </row>
    <row r="5" spans="1:5" x14ac:dyDescent="0.25">
      <c r="A5" s="43" t="s">
        <v>123</v>
      </c>
      <c r="B5" s="44"/>
      <c r="C5" s="44"/>
      <c r="D5" s="44"/>
      <c r="E5" s="44"/>
    </row>
    <row r="6" spans="1:5" x14ac:dyDescent="0.25">
      <c r="A6" s="27"/>
      <c r="B6" s="27"/>
      <c r="C6" s="27"/>
      <c r="D6" s="27"/>
      <c r="E6" s="27"/>
    </row>
    <row r="7" spans="1:5" x14ac:dyDescent="0.25">
      <c r="A7" s="26" t="s">
        <v>67</v>
      </c>
      <c r="B7" s="26" t="s">
        <v>84</v>
      </c>
      <c r="C7" s="27"/>
      <c r="D7" s="27"/>
      <c r="E7" s="27"/>
    </row>
    <row r="8" spans="1:5" x14ac:dyDescent="0.25">
      <c r="A8" s="26" t="s">
        <v>68</v>
      </c>
      <c r="B8" s="46">
        <f>Balanço!D26</f>
        <v>5384880</v>
      </c>
      <c r="C8" s="27"/>
      <c r="D8" s="27"/>
      <c r="E8" s="27"/>
    </row>
    <row r="9" spans="1:5" x14ac:dyDescent="0.25">
      <c r="A9" s="26" t="s">
        <v>69</v>
      </c>
      <c r="B9" s="46">
        <f>Balanço!D37</f>
        <v>2230231</v>
      </c>
      <c r="C9" s="27"/>
      <c r="D9" s="27"/>
      <c r="E9" s="27"/>
    </row>
    <row r="10" spans="1:5" x14ac:dyDescent="0.25">
      <c r="A10" s="27"/>
      <c r="B10" s="27"/>
      <c r="C10" s="27"/>
      <c r="D10" s="27"/>
      <c r="E10" s="27"/>
    </row>
    <row r="11" spans="1:5" x14ac:dyDescent="0.25">
      <c r="A11" s="43" t="s">
        <v>80</v>
      </c>
      <c r="B11" s="44"/>
      <c r="C11" s="44"/>
      <c r="D11" s="44"/>
      <c r="E11" s="44"/>
    </row>
    <row r="12" spans="1:5" x14ac:dyDescent="0.25">
      <c r="A12" s="27"/>
      <c r="B12" s="27"/>
      <c r="C12" s="27"/>
      <c r="D12" s="27"/>
      <c r="E12" s="27"/>
    </row>
    <row r="13" spans="1:5" x14ac:dyDescent="0.25">
      <c r="A13" s="26" t="s">
        <v>81</v>
      </c>
      <c r="B13" s="26" t="s">
        <v>84</v>
      </c>
      <c r="C13" s="27"/>
      <c r="D13" s="27"/>
      <c r="E13" s="27"/>
    </row>
    <row r="14" spans="1:5" x14ac:dyDescent="0.25">
      <c r="A14" s="26" t="s">
        <v>82</v>
      </c>
      <c r="B14" s="47">
        <f>Balanço!D26-Balanço!D24</f>
        <v>5350880</v>
      </c>
      <c r="C14" s="27"/>
      <c r="D14" s="27"/>
      <c r="E14" s="27"/>
    </row>
    <row r="15" spans="1:5" x14ac:dyDescent="0.25">
      <c r="A15" s="26" t="s">
        <v>83</v>
      </c>
      <c r="B15" s="47">
        <f>B14-Balanço!D58</f>
        <v>2196231</v>
      </c>
      <c r="C15" s="27"/>
      <c r="D15" s="27"/>
      <c r="E15" s="27"/>
    </row>
    <row r="16" spans="1:5" x14ac:dyDescent="0.25">
      <c r="A16" s="27"/>
      <c r="B16" s="27"/>
      <c r="C16" s="27"/>
      <c r="D16" s="27"/>
      <c r="E16" s="27"/>
    </row>
    <row r="17" spans="1:5" x14ac:dyDescent="0.25">
      <c r="A17" s="168" t="str">
        <f>'Modelo Património 2011'!A17:D18</f>
        <v>Determinação do valor dos capitais permanentes e do fundo maneio necessário à exploração:</v>
      </c>
      <c r="B17" s="168"/>
      <c r="C17" s="168"/>
      <c r="D17" s="168"/>
      <c r="E17" s="48"/>
    </row>
    <row r="18" spans="1:5" x14ac:dyDescent="0.25">
      <c r="A18" s="168"/>
      <c r="B18" s="168"/>
      <c r="C18" s="168"/>
      <c r="D18" s="168"/>
      <c r="E18" s="48"/>
    </row>
    <row r="19" spans="1:5" x14ac:dyDescent="0.25">
      <c r="A19" s="50" t="s">
        <v>167</v>
      </c>
      <c r="B19" s="26"/>
      <c r="C19" s="27"/>
      <c r="D19" s="27"/>
      <c r="E19" s="27"/>
    </row>
    <row r="20" spans="1:5" x14ac:dyDescent="0.25">
      <c r="A20" s="50" t="s">
        <v>168</v>
      </c>
      <c r="B20" s="47" t="s">
        <v>170</v>
      </c>
      <c r="C20" s="27"/>
    </row>
    <row r="21" spans="1:5" x14ac:dyDescent="0.25">
      <c r="A21" s="51" t="s">
        <v>169</v>
      </c>
      <c r="B21" s="47">
        <f>Balanço!D37</f>
        <v>2230231</v>
      </c>
      <c r="C21" s="27"/>
    </row>
    <row r="22" spans="1:5" x14ac:dyDescent="0.25">
      <c r="A22" s="50" t="str">
        <f>Balanço!A38</f>
        <v>Passivos Não Correntes:</v>
      </c>
      <c r="B22" s="47"/>
      <c r="C22" s="27"/>
    </row>
    <row r="23" spans="1:5" x14ac:dyDescent="0.25">
      <c r="A23" s="27" t="str">
        <f>Balanço!A39</f>
        <v>Passivos por impostos diferidos</v>
      </c>
      <c r="B23" s="47">
        <f>Balanço!D39</f>
        <v>272800</v>
      </c>
      <c r="C23" s="27"/>
    </row>
    <row r="24" spans="1:5" x14ac:dyDescent="0.25">
      <c r="A24" s="27" t="str">
        <f>Balanço!A40</f>
        <v>Beneficios pós-emprego</v>
      </c>
      <c r="B24" s="47">
        <f>Balanço!D40</f>
        <v>19071</v>
      </c>
      <c r="C24" s="27"/>
    </row>
    <row r="25" spans="1:5" x14ac:dyDescent="0.25">
      <c r="A25" s="27" t="str">
        <f>Balanço!A41</f>
        <v>Provisões</v>
      </c>
      <c r="B25" s="47">
        <f>Balanço!D41</f>
        <v>170828</v>
      </c>
      <c r="C25" s="27"/>
    </row>
    <row r="26" spans="1:5" x14ac:dyDescent="0.25">
      <c r="A26" s="27" t="str">
        <f>Balanço!A42</f>
        <v>Empréstimos</v>
      </c>
      <c r="B26" s="47">
        <f>Balanço!D42</f>
        <v>1253345</v>
      </c>
      <c r="C26" s="27"/>
    </row>
    <row r="27" spans="1:5" x14ac:dyDescent="0.25">
      <c r="A27" s="27" t="str">
        <f>Balanço!A43</f>
        <v>Locações financeiras</v>
      </c>
      <c r="B27" s="47">
        <f>Balanço!D43</f>
        <v>3072</v>
      </c>
      <c r="C27" s="27"/>
      <c r="D27" s="27"/>
      <c r="E27" s="27"/>
    </row>
    <row r="28" spans="1:5" x14ac:dyDescent="0.25">
      <c r="A28" s="27" t="str">
        <f>Balanço!A44</f>
        <v>Outras dívidas a terceiros</v>
      </c>
      <c r="B28" s="47">
        <f>Balanço!D44</f>
        <v>26191</v>
      </c>
      <c r="E28" s="27"/>
    </row>
    <row r="29" spans="1:5" x14ac:dyDescent="0.25">
      <c r="A29" s="27" t="str">
        <f>Balanço!A45</f>
        <v>Estado e outros entes públicos</v>
      </c>
      <c r="B29" s="47">
        <f>Balanço!D45</f>
        <v>521</v>
      </c>
      <c r="E29" s="27"/>
    </row>
    <row r="30" spans="1:5" x14ac:dyDescent="0.25">
      <c r="A30" s="27" t="str">
        <f>Balanço!A46</f>
        <v>Outros passivos não correntes</v>
      </c>
      <c r="B30" s="47">
        <f>Balanço!D46</f>
        <v>79995</v>
      </c>
      <c r="E30" s="27"/>
    </row>
    <row r="31" spans="1:5" ht="15.75" thickBot="1" x14ac:dyDescent="0.3">
      <c r="A31" s="52" t="s">
        <v>171</v>
      </c>
      <c r="B31" s="53">
        <f>SUM(B23:B30)</f>
        <v>1825823</v>
      </c>
      <c r="E31" s="27"/>
    </row>
    <row r="32" spans="1:5" ht="15.75" thickTop="1" x14ac:dyDescent="0.25">
      <c r="A32" s="54" t="s">
        <v>172</v>
      </c>
      <c r="B32" s="55">
        <f>B21+Tabela35[[#Totals],[Unidade: (10³€)]]</f>
        <v>4056054</v>
      </c>
      <c r="E32" s="27"/>
    </row>
    <row r="33" spans="1:5" x14ac:dyDescent="0.25">
      <c r="A33" s="56" t="s">
        <v>174</v>
      </c>
      <c r="B33" s="57"/>
      <c r="E33" s="27"/>
    </row>
    <row r="34" spans="1:5" x14ac:dyDescent="0.25">
      <c r="A34" s="58" t="str">
        <f>Balanço!A7</f>
        <v>Ativos intangíveis</v>
      </c>
      <c r="B34" s="59">
        <f>Balanço!D7</f>
        <v>69933</v>
      </c>
      <c r="E34" s="27"/>
    </row>
    <row r="35" spans="1:5" ht="15.75" thickBot="1" x14ac:dyDescent="0.3">
      <c r="A35" s="60" t="str">
        <f>Balanço!A8</f>
        <v>Ativos fixos tangíveis</v>
      </c>
      <c r="B35" s="59">
        <f>Balanço!D8</f>
        <v>2188328</v>
      </c>
    </row>
    <row r="36" spans="1:5" ht="16.5" thickTop="1" thickBot="1" x14ac:dyDescent="0.3">
      <c r="A36" s="54" t="s">
        <v>175</v>
      </c>
      <c r="B36" s="55">
        <f>SUM(B34:B35)</f>
        <v>2258261</v>
      </c>
    </row>
    <row r="37" spans="1:5" ht="15.75" thickTop="1" x14ac:dyDescent="0.25">
      <c r="A37" s="54" t="s">
        <v>181</v>
      </c>
      <c r="B37" s="55">
        <f>B32-B36</f>
        <v>1797793</v>
      </c>
    </row>
    <row r="38" spans="1:5" x14ac:dyDescent="0.25">
      <c r="A38" s="62" t="s">
        <v>173</v>
      </c>
      <c r="B38" s="63"/>
    </row>
    <row r="39" spans="1:5" x14ac:dyDescent="0.25">
      <c r="A39" s="64" t="str">
        <f>Balanço!A17</f>
        <v>Existências</v>
      </c>
      <c r="B39" s="65">
        <f>Balanço!D17</f>
        <v>362008</v>
      </c>
    </row>
    <row r="40" spans="1:5" x14ac:dyDescent="0.25">
      <c r="A40" s="66" t="str">
        <f>Balanço!A18</f>
        <v>Clientes e adiantamentos a fornecedores</v>
      </c>
      <c r="B40" s="67">
        <f>Balanço!D18</f>
        <v>284359</v>
      </c>
    </row>
    <row r="41" spans="1:5" ht="15.75" thickBot="1" x14ac:dyDescent="0.3">
      <c r="A41" s="66" t="str">
        <f>Balanço!A20</f>
        <v>Estado e outros entes públicos</v>
      </c>
      <c r="B41" s="67">
        <f>Balanço!D20</f>
        <v>60292</v>
      </c>
    </row>
    <row r="42" spans="1:5" ht="15.75" thickTop="1" x14ac:dyDescent="0.25">
      <c r="A42" s="54" t="s">
        <v>176</v>
      </c>
      <c r="B42" s="55">
        <f>SUM(B39:B41)</f>
        <v>706659</v>
      </c>
    </row>
    <row r="43" spans="1:5" x14ac:dyDescent="0.25">
      <c r="A43" s="62" t="s">
        <v>177</v>
      </c>
      <c r="B43" s="63"/>
    </row>
    <row r="44" spans="1:5" x14ac:dyDescent="0.25">
      <c r="A44" s="64" t="str">
        <f>Balanço!A53</f>
        <v>Fornecedores e adiantamentos de clientes</v>
      </c>
      <c r="B44" s="65">
        <f>Balanço!D53</f>
        <v>199370</v>
      </c>
    </row>
    <row r="45" spans="1:5" ht="15.75" thickBot="1" x14ac:dyDescent="0.3">
      <c r="A45" s="64" t="str">
        <f>Balanço!A55</f>
        <v>Estado e outros entes públicos</v>
      </c>
      <c r="B45" s="65">
        <f>Balanço!D55</f>
        <v>44166</v>
      </c>
    </row>
    <row r="46" spans="1:5" ht="16.5" thickTop="1" thickBot="1" x14ac:dyDescent="0.3">
      <c r="A46" s="54" t="s">
        <v>178</v>
      </c>
      <c r="B46" s="55">
        <f>SUM(B44:B45)</f>
        <v>243536</v>
      </c>
    </row>
    <row r="47" spans="1:5" ht="16.5" thickTop="1" thickBot="1" x14ac:dyDescent="0.3">
      <c r="A47" s="54" t="s">
        <v>179</v>
      </c>
      <c r="B47" s="55">
        <f>B42-B46</f>
        <v>463123</v>
      </c>
    </row>
    <row r="48" spans="1:5" ht="15.75" thickTop="1" x14ac:dyDescent="0.25">
      <c r="A48" s="54" t="s">
        <v>182</v>
      </c>
      <c r="B48" s="55">
        <f>B37-B47</f>
        <v>1334670</v>
      </c>
    </row>
    <row r="50" spans="1:2" x14ac:dyDescent="0.25">
      <c r="A50" s="26" t="s">
        <v>67</v>
      </c>
      <c r="B50" s="27" t="s">
        <v>84</v>
      </c>
    </row>
    <row r="51" spans="1:2" x14ac:dyDescent="0.25">
      <c r="A51" s="26" t="s">
        <v>68</v>
      </c>
      <c r="B51" s="46">
        <f>Balanço!D8+'Modelo Património 2010'!B47+'Modelo Património 2010'!B48</f>
        <v>3986121</v>
      </c>
    </row>
    <row r="52" spans="1:2" x14ac:dyDescent="0.25">
      <c r="A52" s="26" t="s">
        <v>69</v>
      </c>
      <c r="B52" s="46">
        <f>B51-Balanço!D47</f>
        <v>2160299</v>
      </c>
    </row>
    <row r="57" spans="1:2" x14ac:dyDescent="0.25">
      <c r="A57" s="25" t="s">
        <v>191</v>
      </c>
    </row>
    <row r="58" spans="1:2" x14ac:dyDescent="0.25">
      <c r="A58" s="50" t="s">
        <v>167</v>
      </c>
      <c r="B58" s="26"/>
    </row>
    <row r="59" spans="1:2" x14ac:dyDescent="0.25">
      <c r="A59" s="50" t="s">
        <v>168</v>
      </c>
      <c r="B59" s="47" t="s">
        <v>170</v>
      </c>
    </row>
    <row r="60" spans="1:2" x14ac:dyDescent="0.25">
      <c r="A60" s="51" t="s">
        <v>169</v>
      </c>
      <c r="B60" s="47">
        <v>1922991</v>
      </c>
    </row>
    <row r="61" spans="1:2" x14ac:dyDescent="0.25">
      <c r="A61" s="50" t="str">
        <f>A22</f>
        <v>Passivos Não Correntes:</v>
      </c>
      <c r="B61" s="47"/>
    </row>
    <row r="62" spans="1:2" x14ac:dyDescent="0.25">
      <c r="A62" s="51" t="str">
        <f t="shared" ref="A62:A69" si="0">A23</f>
        <v>Passivos por impostos diferidos</v>
      </c>
      <c r="B62" s="47">
        <v>233853</v>
      </c>
    </row>
    <row r="63" spans="1:2" x14ac:dyDescent="0.25">
      <c r="A63" s="51" t="str">
        <f t="shared" si="0"/>
        <v>Beneficios pós-emprego</v>
      </c>
      <c r="B63" s="47">
        <v>19984</v>
      </c>
    </row>
    <row r="64" spans="1:2" x14ac:dyDescent="0.25">
      <c r="A64" s="51" t="str">
        <f t="shared" si="0"/>
        <v>Provisões</v>
      </c>
      <c r="B64" s="47">
        <v>153704</v>
      </c>
    </row>
    <row r="65" spans="1:2" x14ac:dyDescent="0.25">
      <c r="A65" s="51" t="str">
        <f t="shared" si="0"/>
        <v>Empréstimos</v>
      </c>
      <c r="B65" s="47">
        <v>1637157</v>
      </c>
    </row>
    <row r="66" spans="1:2" x14ac:dyDescent="0.25">
      <c r="A66" s="51" t="str">
        <f t="shared" si="0"/>
        <v>Locações financeiras</v>
      </c>
      <c r="B66" s="47">
        <v>4784</v>
      </c>
    </row>
    <row r="67" spans="1:2" x14ac:dyDescent="0.25">
      <c r="A67" s="51" t="str">
        <f t="shared" si="0"/>
        <v>Outras dívidas a terceiros</v>
      </c>
      <c r="B67" s="47">
        <v>28037</v>
      </c>
    </row>
    <row r="68" spans="1:2" x14ac:dyDescent="0.25">
      <c r="A68" s="51" t="str">
        <f t="shared" si="0"/>
        <v>Estado e outros entes públicos</v>
      </c>
      <c r="B68" s="47">
        <v>984</v>
      </c>
    </row>
    <row r="69" spans="1:2" x14ac:dyDescent="0.25">
      <c r="A69" s="51" t="str">
        <f t="shared" si="0"/>
        <v>Outros passivos não correntes</v>
      </c>
      <c r="B69" s="47">
        <v>122418</v>
      </c>
    </row>
    <row r="70" spans="1:2" ht="15.75" thickBot="1" x14ac:dyDescent="0.3">
      <c r="A70" s="52" t="s">
        <v>171</v>
      </c>
      <c r="B70" s="53">
        <f>SUM(B62:B69)</f>
        <v>2200921</v>
      </c>
    </row>
    <row r="71" spans="1:2" ht="15.75" thickTop="1" x14ac:dyDescent="0.25">
      <c r="A71" s="54" t="s">
        <v>172</v>
      </c>
      <c r="B71" s="55">
        <f>B60+Tabela359[[#Totals],[Unidade: (10³€)]]</f>
        <v>4123912</v>
      </c>
    </row>
    <row r="72" spans="1:2" x14ac:dyDescent="0.25">
      <c r="A72" s="56" t="s">
        <v>174</v>
      </c>
      <c r="B72" s="57"/>
    </row>
    <row r="73" spans="1:2" x14ac:dyDescent="0.25">
      <c r="A73" s="58" t="str">
        <f>A34</f>
        <v>Ativos intangíveis</v>
      </c>
      <c r="B73" s="59">
        <v>69645</v>
      </c>
    </row>
    <row r="74" spans="1:2" ht="15.75" thickBot="1" x14ac:dyDescent="0.3">
      <c r="A74" s="60" t="str">
        <f>A35</f>
        <v>Ativos fixos tangíveis</v>
      </c>
      <c r="B74" s="68">
        <v>2127773</v>
      </c>
    </row>
    <row r="75" spans="1:2" ht="16.5" thickTop="1" thickBot="1" x14ac:dyDescent="0.3">
      <c r="A75" s="54" t="s">
        <v>175</v>
      </c>
      <c r="B75" s="55">
        <f>SUM(B73:B74)</f>
        <v>2197418</v>
      </c>
    </row>
    <row r="76" spans="1:2" ht="15.75" thickTop="1" x14ac:dyDescent="0.25">
      <c r="A76" s="54" t="s">
        <v>181</v>
      </c>
      <c r="B76" s="55">
        <f>B71-B75</f>
        <v>1926494</v>
      </c>
    </row>
    <row r="77" spans="1:2" x14ac:dyDescent="0.25">
      <c r="A77" s="62" t="s">
        <v>173</v>
      </c>
      <c r="B77" s="63"/>
    </row>
    <row r="78" spans="1:2" x14ac:dyDescent="0.25">
      <c r="A78" s="64" t="str">
        <f>A39</f>
        <v>Existências</v>
      </c>
      <c r="B78" s="65">
        <v>294300</v>
      </c>
    </row>
    <row r="79" spans="1:2" x14ac:dyDescent="0.25">
      <c r="A79" s="66" t="str">
        <f>A40</f>
        <v>Clientes e adiantamentos a fornecedores</v>
      </c>
      <c r="B79" s="67">
        <v>264202</v>
      </c>
    </row>
    <row r="80" spans="1:2" ht="15.75" thickBot="1" x14ac:dyDescent="0.3">
      <c r="A80" s="66" t="str">
        <f t="shared" ref="A80" si="1">A41</f>
        <v>Estado e outros entes públicos</v>
      </c>
      <c r="B80" s="67">
        <v>52660</v>
      </c>
    </row>
    <row r="81" spans="1:2" ht="15.75" thickTop="1" x14ac:dyDescent="0.25">
      <c r="A81" s="54" t="s">
        <v>176</v>
      </c>
      <c r="B81" s="55">
        <f>SUM(B78:B80)</f>
        <v>611162</v>
      </c>
    </row>
    <row r="82" spans="1:2" x14ac:dyDescent="0.25">
      <c r="A82" s="62" t="s">
        <v>177</v>
      </c>
      <c r="B82" s="63"/>
    </row>
    <row r="83" spans="1:2" x14ac:dyDescent="0.25">
      <c r="A83" s="64" t="str">
        <f>A44</f>
        <v>Fornecedores e adiantamentos de clientes</v>
      </c>
      <c r="B83" s="65">
        <v>182734</v>
      </c>
    </row>
    <row r="84" spans="1:2" ht="15.75" thickBot="1" x14ac:dyDescent="0.3">
      <c r="A84" s="64" t="str">
        <f t="shared" ref="A84" si="2">A45</f>
        <v>Estado e outros entes públicos</v>
      </c>
      <c r="B84" s="65">
        <v>37096</v>
      </c>
    </row>
    <row r="85" spans="1:2" ht="16.5" thickTop="1" thickBot="1" x14ac:dyDescent="0.3">
      <c r="A85" s="54" t="s">
        <v>178</v>
      </c>
      <c r="B85" s="55">
        <f>SUM(B83:B84)</f>
        <v>219830</v>
      </c>
    </row>
    <row r="86" spans="1:2" ht="16.5" thickTop="1" thickBot="1" x14ac:dyDescent="0.3">
      <c r="A86" s="54" t="s">
        <v>179</v>
      </c>
      <c r="B86" s="55">
        <f>B81-B85</f>
        <v>391332</v>
      </c>
    </row>
    <row r="87" spans="1:2" ht="15.75" thickTop="1" x14ac:dyDescent="0.25">
      <c r="A87" s="54" t="s">
        <v>182</v>
      </c>
      <c r="B87" s="55">
        <f>B76-B86</f>
        <v>1535162</v>
      </c>
    </row>
  </sheetData>
  <sheetProtection password="D4C8" sheet="1" objects="1" scenarios="1"/>
  <mergeCells count="2">
    <mergeCell ref="A17:D18"/>
    <mergeCell ref="A1:D1"/>
  </mergeCells>
  <conditionalFormatting sqref="B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B9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5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B52">
    <cfRule type="iconSet" priority="1">
      <iconSet iconSet="3TrafficLights2">
        <cfvo type="percent" val="0"/>
        <cfvo type="percent" val="33"/>
        <cfvo type="percent" val="67"/>
      </iconSet>
    </cfRule>
  </conditionalFormatting>
  <hyperlinks>
    <hyperlink ref="A1:D1" location="'Pressupostos do Trabalho'!A1" display="Voltar aos Pressupostos do Trabalho"/>
  </hyperlinks>
  <pageMargins left="0.7" right="0.7" top="0.75" bottom="0.75" header="0.3" footer="0.3"/>
  <pageSetup paperSize="9" scale="87" orientation="portrait" horizontalDpi="4294967293" r:id="rId1"/>
  <drawing r:id="rId2"/>
  <tableParts count="5">
    <tablePart r:id="rId3"/>
    <tablePart r:id="rId4"/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L24" sqref="L24"/>
    </sheetView>
  </sheetViews>
  <sheetFormatPr defaultRowHeight="15" x14ac:dyDescent="0.25"/>
  <cols>
    <col min="1" max="1" width="36.42578125" style="24" customWidth="1"/>
    <col min="2" max="2" width="22.7109375" style="24" customWidth="1"/>
    <col min="3" max="3" width="13.28515625" style="24" bestFit="1" customWidth="1"/>
    <col min="4" max="4" width="10.28515625" style="24" customWidth="1"/>
    <col min="5" max="6" width="9.140625" style="24"/>
    <col min="7" max="7" width="9.7109375" style="24" customWidth="1"/>
    <col min="8" max="9" width="10.28515625" style="24" customWidth="1"/>
    <col min="10" max="16384" width="9.140625" style="24"/>
  </cols>
  <sheetData>
    <row r="1" spans="1:7" x14ac:dyDescent="0.25">
      <c r="A1" s="167" t="s">
        <v>79</v>
      </c>
      <c r="B1" s="167"/>
      <c r="C1" s="167"/>
      <c r="D1" s="167"/>
      <c r="E1" s="27"/>
      <c r="F1" s="27"/>
      <c r="G1" s="27"/>
    </row>
    <row r="2" spans="1:7" x14ac:dyDescent="0.25">
      <c r="A2" s="42"/>
      <c r="B2" s="42"/>
      <c r="C2" s="42"/>
      <c r="D2" s="42"/>
      <c r="E2" s="27"/>
      <c r="F2" s="27"/>
      <c r="G2" s="27"/>
    </row>
    <row r="3" spans="1:7" x14ac:dyDescent="0.25">
      <c r="A3" s="27"/>
      <c r="B3" s="27"/>
      <c r="C3" s="27"/>
      <c r="D3" s="27"/>
      <c r="E3" s="27"/>
      <c r="F3" s="27"/>
      <c r="G3" s="27"/>
    </row>
    <row r="4" spans="1:7" x14ac:dyDescent="0.25">
      <c r="A4" s="27"/>
      <c r="B4" s="27"/>
      <c r="C4" s="27"/>
      <c r="D4" s="27"/>
      <c r="E4" s="27"/>
      <c r="F4" s="27"/>
      <c r="G4" s="27"/>
    </row>
    <row r="5" spans="1:7" x14ac:dyDescent="0.25">
      <c r="A5" s="43" t="str">
        <f>'Modelo Património 2011'!A5</f>
        <v>Determinação do valor da empresa através do valor contabilístico</v>
      </c>
      <c r="B5" s="27"/>
      <c r="C5" s="27"/>
      <c r="D5" s="27"/>
      <c r="E5" s="27"/>
      <c r="F5" s="27"/>
      <c r="G5" s="27"/>
    </row>
    <row r="6" spans="1:7" x14ac:dyDescent="0.25">
      <c r="A6" s="27"/>
      <c r="B6" s="27"/>
      <c r="C6" s="27"/>
      <c r="D6" s="27"/>
      <c r="E6" s="27"/>
      <c r="F6" s="27"/>
      <c r="G6" s="27"/>
    </row>
    <row r="7" spans="1:7" x14ac:dyDescent="0.25">
      <c r="A7" s="69" t="s">
        <v>67</v>
      </c>
      <c r="B7" s="69" t="s">
        <v>86</v>
      </c>
      <c r="C7" s="27"/>
      <c r="D7" s="27"/>
    </row>
    <row r="8" spans="1:7" x14ac:dyDescent="0.25">
      <c r="A8" s="26" t="str">
        <f>Tabela27[[#This Row],[Opticas]]</f>
        <v>Entidade</v>
      </c>
      <c r="B8" s="28">
        <f>(Tabela2[[#This Row],[Unidade: (10³€)]]-Tabela27[[#This Row],[Unidade: (10³€)]])/Tabela27[[#This Row],[Unidade: (10³€)]]</f>
        <v>-2.7455022210337091E-2</v>
      </c>
      <c r="C8" s="27"/>
      <c r="D8" s="27"/>
    </row>
    <row r="9" spans="1:7" x14ac:dyDescent="0.25">
      <c r="A9" s="26" t="str">
        <f>Tabela27[[#This Row],[Opticas]]</f>
        <v>Investidor</v>
      </c>
      <c r="B9" s="28">
        <f>(Tabela2[[#This Row],[Unidade: (10³€)]]-Tabela27[[#This Row],[Unidade: (10³€)]])/Tabela27[[#This Row],[Unidade: (10³€)]]</f>
        <v>-6.5414748517081858E-2</v>
      </c>
      <c r="C9" s="27"/>
      <c r="D9" s="27"/>
    </row>
    <row r="10" spans="1:7" x14ac:dyDescent="0.25">
      <c r="A10" s="27"/>
      <c r="B10" s="27"/>
      <c r="C10" s="27"/>
      <c r="D10" s="27"/>
      <c r="E10" s="27"/>
      <c r="F10" s="27"/>
    </row>
    <row r="11" spans="1:7" x14ac:dyDescent="0.25">
      <c r="A11" s="27" t="str">
        <f>'Modelo Património 2011'!A11</f>
        <v>Determinação do Valor Substancial</v>
      </c>
      <c r="B11" s="27"/>
      <c r="C11" s="27"/>
      <c r="D11" s="27"/>
      <c r="E11" s="27"/>
      <c r="F11" s="27"/>
      <c r="G11" s="27"/>
    </row>
    <row r="12" spans="1:7" x14ac:dyDescent="0.25">
      <c r="A12" s="27"/>
      <c r="B12" s="27"/>
      <c r="C12" s="27"/>
      <c r="D12" s="27"/>
      <c r="E12" s="27"/>
      <c r="F12" s="27"/>
      <c r="G12" s="27"/>
    </row>
    <row r="13" spans="1:7" x14ac:dyDescent="0.25">
      <c r="A13" s="69" t="s">
        <v>67</v>
      </c>
      <c r="B13" s="69" t="s">
        <v>86</v>
      </c>
      <c r="C13" s="27"/>
      <c r="D13" s="27"/>
      <c r="E13" s="27"/>
    </row>
    <row r="14" spans="1:7" x14ac:dyDescent="0.25">
      <c r="A14" s="26" t="str">
        <f>Tabela1[[#This Row],[Valor Substancial]]</f>
        <v>Bruto</v>
      </c>
      <c r="B14" s="28">
        <f>(Tabela1[[#This Row],[Unidade: (10³€)]]-Tabela18[[#This Row],[Unidade: (10³€)]])/Tabela18[[#This Row],[Unidade: (10³€)]]</f>
        <v>-2.8903656968573395E-2</v>
      </c>
      <c r="C14" s="27"/>
      <c r="D14" s="27"/>
      <c r="E14" s="27"/>
    </row>
    <row r="15" spans="1:7" x14ac:dyDescent="0.25">
      <c r="A15" s="26" t="str">
        <f>Tabela1[[#This Row],[Valor Substancial]]</f>
        <v>Liquído</v>
      </c>
      <c r="B15" s="28">
        <f>(Tabela1[[#This Row],[Unidade: (10³€)]]-Tabela18[[#This Row],[Unidade: (10³€)]])/Tabela18[[#This Row],[Unidade: (10³€)]]</f>
        <v>-6.9531847970454835E-2</v>
      </c>
      <c r="C15" s="27"/>
      <c r="D15" s="27"/>
      <c r="E15" s="27"/>
    </row>
    <row r="16" spans="1:7" x14ac:dyDescent="0.25">
      <c r="A16" s="27"/>
      <c r="B16" s="27"/>
      <c r="C16" s="27"/>
      <c r="D16" s="27"/>
      <c r="E16" s="27"/>
      <c r="F16" s="27"/>
      <c r="G16" s="27"/>
    </row>
    <row r="17" spans="1:7" x14ac:dyDescent="0.25">
      <c r="A17" s="169" t="str">
        <f>'Modelo Património 2011'!A17:D18</f>
        <v>Determinação do valor dos capitais permanentes e do fundo maneio necessário à exploração:</v>
      </c>
      <c r="B17" s="169"/>
      <c r="C17" s="169"/>
      <c r="D17" s="70"/>
      <c r="E17" s="70"/>
      <c r="F17" s="70"/>
      <c r="G17" s="70"/>
    </row>
    <row r="18" spans="1:7" x14ac:dyDescent="0.25">
      <c r="A18" s="170"/>
      <c r="B18" s="170"/>
      <c r="C18" s="170"/>
      <c r="D18" s="71"/>
      <c r="E18" s="71"/>
      <c r="F18" s="70"/>
      <c r="G18" s="70"/>
    </row>
    <row r="19" spans="1:7" x14ac:dyDescent="0.25">
      <c r="A19" s="69" t="s">
        <v>87</v>
      </c>
      <c r="B19" s="69" t="s">
        <v>86</v>
      </c>
    </row>
    <row r="20" spans="1:7" x14ac:dyDescent="0.25">
      <c r="A20" s="26" t="str">
        <f>Tabela3[[#Headers],[Capitais Permanentes]]</f>
        <v>Capitais Permanentes</v>
      </c>
      <c r="B20" s="28">
        <f>('Modelo Património 2011'!B32-'Modelo Património 2010'!B32)/'Modelo Património 2010'!B32</f>
        <v>5.5738656339387987E-2</v>
      </c>
    </row>
    <row r="21" spans="1:7" x14ac:dyDescent="0.25">
      <c r="A21" s="26" t="s">
        <v>183</v>
      </c>
      <c r="B21" s="28">
        <f>('Modelo Património 2011'!B37-'Modelo Património 2010'!B37)/'Modelo Património 2010'!B37</f>
        <v>0.11963946906011982</v>
      </c>
    </row>
    <row r="22" spans="1:7" x14ac:dyDescent="0.25">
      <c r="A22" s="72" t="s">
        <v>184</v>
      </c>
      <c r="B22" s="73">
        <f>('Modelo Património 2011'!B48-'Modelo Património 2010'!B48)/'Modelo Património 2010'!B48</f>
        <v>0.19222879063738602</v>
      </c>
      <c r="C22" s="74"/>
      <c r="D22" s="74"/>
    </row>
    <row r="24" spans="1:7" x14ac:dyDescent="0.25">
      <c r="A24" s="69" t="s">
        <v>67</v>
      </c>
      <c r="B24" s="69" t="s">
        <v>86</v>
      </c>
    </row>
    <row r="25" spans="1:7" x14ac:dyDescent="0.25">
      <c r="A25" s="26" t="str">
        <f>'Modelo Património 2011'!A51</f>
        <v>Entidade</v>
      </c>
      <c r="B25" s="28">
        <f>('Modelo Património 2011'!B51-'Modelo Património 2010'!B51)/'Modelo Património 2010'!B51</f>
        <v>6.0439961556611049E-2</v>
      </c>
    </row>
    <row r="26" spans="1:7" x14ac:dyDescent="0.25">
      <c r="A26" s="26" t="str">
        <f>'Modelo Património 2011'!A52</f>
        <v>Investidor</v>
      </c>
      <c r="B26" s="28">
        <f>('Modelo Património 2011'!B52-'Modelo Património 2010'!B52)/'Modelo Património 2010'!B52</f>
        <v>-6.066289897833587E-2</v>
      </c>
    </row>
  </sheetData>
  <sheetProtection password="D4C8" sheet="1" objects="1" scenarios="1"/>
  <mergeCells count="2">
    <mergeCell ref="A17:C18"/>
    <mergeCell ref="A1:D1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tableParts count="4"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5"/>
  <sheetViews>
    <sheetView showGridLines="0" workbookViewId="0">
      <selection activeCell="L24" sqref="L24"/>
    </sheetView>
  </sheetViews>
  <sheetFormatPr defaultRowHeight="15" x14ac:dyDescent="0.25"/>
  <cols>
    <col min="1" max="1" width="36.5703125" style="24" customWidth="1"/>
    <col min="2" max="2" width="9.5703125" style="24" customWidth="1"/>
    <col min="3" max="4" width="15.5703125" style="24" customWidth="1"/>
    <col min="5" max="6" width="9.140625" style="24"/>
    <col min="7" max="7" width="13.28515625" style="24" bestFit="1" customWidth="1"/>
    <col min="8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6" spans="1:4" x14ac:dyDescent="0.25">
      <c r="A6" s="29" t="s">
        <v>137</v>
      </c>
      <c r="B6" s="27"/>
      <c r="C6" s="27"/>
    </row>
    <row r="7" spans="1:4" x14ac:dyDescent="0.25">
      <c r="A7" s="27"/>
      <c r="B7" s="27"/>
      <c r="C7" s="27"/>
    </row>
    <row r="8" spans="1:4" ht="15.75" thickBot="1" x14ac:dyDescent="0.3">
      <c r="A8" s="75" t="s">
        <v>87</v>
      </c>
      <c r="B8" s="76" t="s">
        <v>98</v>
      </c>
      <c r="C8" s="27"/>
    </row>
    <row r="9" spans="1:4" ht="15.75" thickTop="1" x14ac:dyDescent="0.25">
      <c r="A9" s="58" t="s">
        <v>145</v>
      </c>
      <c r="B9" s="77">
        <v>0.39800000000000002</v>
      </c>
      <c r="C9" s="27"/>
    </row>
    <row r="10" spans="1:4" x14ac:dyDescent="0.25">
      <c r="A10" s="78" t="s">
        <v>146</v>
      </c>
      <c r="B10" s="79">
        <v>0.154</v>
      </c>
      <c r="C10" s="27"/>
    </row>
    <row r="11" spans="1:4" x14ac:dyDescent="0.25">
      <c r="A11" s="58" t="s">
        <v>147</v>
      </c>
      <c r="B11" s="77">
        <f>B23</f>
        <v>0.60200002367750616</v>
      </c>
      <c r="C11" s="27"/>
    </row>
    <row r="12" spans="1:4" ht="15.75" thickBot="1" x14ac:dyDescent="0.3">
      <c r="A12" s="80" t="s">
        <v>195</v>
      </c>
      <c r="B12" s="81">
        <f>'Mod.Rend.2011 Opt.Entid.Buil-UP'!B23</f>
        <v>2.5881808375496324E-2</v>
      </c>
      <c r="C12" s="27"/>
    </row>
    <row r="13" spans="1:4" ht="15.75" thickTop="1" x14ac:dyDescent="0.25">
      <c r="A13" s="82" t="s">
        <v>138</v>
      </c>
      <c r="B13" s="83">
        <f>B9*B10+B11*B12</f>
        <v>7.6872849254865469E-2</v>
      </c>
      <c r="C13" s="27"/>
    </row>
    <row r="14" spans="1:4" x14ac:dyDescent="0.25">
      <c r="A14" s="27"/>
      <c r="B14" s="27"/>
      <c r="C14" s="27"/>
    </row>
    <row r="15" spans="1:4" x14ac:dyDescent="0.25">
      <c r="A15" s="84" t="s">
        <v>141</v>
      </c>
      <c r="B15" s="85"/>
      <c r="C15" s="27"/>
    </row>
    <row r="16" spans="1:4" x14ac:dyDescent="0.25">
      <c r="A16" s="84"/>
      <c r="B16" s="85"/>
      <c r="C16" s="27"/>
    </row>
    <row r="17" spans="1:3" ht="15.75" thickBot="1" x14ac:dyDescent="0.3">
      <c r="A17" s="75" t="s">
        <v>87</v>
      </c>
      <c r="B17" s="76" t="s">
        <v>143</v>
      </c>
      <c r="C17" s="27"/>
    </row>
    <row r="18" spans="1:3" ht="15.75" thickTop="1" x14ac:dyDescent="0.25">
      <c r="A18" s="58" t="s">
        <v>142</v>
      </c>
      <c r="B18" s="86">
        <f>Balanço!C58/Balanço!C37</f>
        <v>1.5125629635457922</v>
      </c>
      <c r="C18" s="27"/>
    </row>
    <row r="19" spans="1:3" x14ac:dyDescent="0.25">
      <c r="A19" s="27"/>
      <c r="B19" s="27"/>
      <c r="C19" s="27"/>
    </row>
    <row r="20" spans="1:3" x14ac:dyDescent="0.25">
      <c r="A20" s="182" t="s">
        <v>140</v>
      </c>
      <c r="B20" s="182"/>
      <c r="C20" s="27"/>
    </row>
    <row r="21" spans="1:3" x14ac:dyDescent="0.25">
      <c r="A21" s="27"/>
      <c r="B21" s="27"/>
      <c r="C21" s="27"/>
    </row>
    <row r="22" spans="1:3" x14ac:dyDescent="0.25">
      <c r="A22" s="26" t="s">
        <v>87</v>
      </c>
      <c r="B22" s="26" t="s">
        <v>98</v>
      </c>
      <c r="C22" s="27"/>
    </row>
    <row r="23" spans="1:3" x14ac:dyDescent="0.25">
      <c r="A23" s="27" t="s">
        <v>144</v>
      </c>
      <c r="B23" s="85">
        <f>B24*B18</f>
        <v>0.60200002367750616</v>
      </c>
      <c r="C23" s="27"/>
    </row>
    <row r="24" spans="1:3" x14ac:dyDescent="0.25">
      <c r="A24" s="27" t="s">
        <v>139</v>
      </c>
      <c r="B24" s="85">
        <f t="shared" ref="B24" si="0">1/(1+B18)</f>
        <v>0.39799997632249368</v>
      </c>
      <c r="C24" s="27"/>
    </row>
    <row r="25" spans="1:3" x14ac:dyDescent="0.25">
      <c r="A25" s="27"/>
      <c r="B25" s="27"/>
      <c r="C25" s="27"/>
    </row>
    <row r="26" spans="1:3" x14ac:dyDescent="0.25">
      <c r="A26" s="87" t="s">
        <v>154</v>
      </c>
      <c r="B26" s="85"/>
      <c r="C26" s="27"/>
    </row>
    <row r="27" spans="1:3" x14ac:dyDescent="0.25">
      <c r="A27" s="27"/>
      <c r="B27" s="27"/>
      <c r="C27" s="27"/>
    </row>
    <row r="28" spans="1:3" x14ac:dyDescent="0.25">
      <c r="A28" s="182" t="s">
        <v>148</v>
      </c>
      <c r="B28" s="182"/>
      <c r="C28" s="27"/>
    </row>
    <row r="29" spans="1:3" x14ac:dyDescent="0.25">
      <c r="A29" s="27"/>
      <c r="B29" s="27"/>
      <c r="C29" s="27"/>
    </row>
    <row r="30" spans="1:3" ht="15.75" thickBot="1" x14ac:dyDescent="0.3">
      <c r="A30" s="75" t="s">
        <v>87</v>
      </c>
      <c r="B30" s="76" t="s">
        <v>98</v>
      </c>
      <c r="C30" s="27"/>
    </row>
    <row r="31" spans="1:3" ht="15.75" thickTop="1" x14ac:dyDescent="0.25">
      <c r="A31" s="58" t="s">
        <v>153</v>
      </c>
      <c r="B31" s="88">
        <f>0.1+'Mod.Rend.2011 Optic.Enti. MCAPM'!B18*'Mod.Rend.2011 Optic.Enti. MCAPM'!B17</f>
        <v>0.15400000000000003</v>
      </c>
      <c r="C31" s="27"/>
    </row>
    <row r="32" spans="1:3" x14ac:dyDescent="0.25">
      <c r="A32" s="27"/>
      <c r="B32" s="27"/>
      <c r="C32" s="27"/>
    </row>
    <row r="33" spans="1:3" x14ac:dyDescent="0.25">
      <c r="A33" s="182" t="s">
        <v>164</v>
      </c>
      <c r="B33" s="183"/>
      <c r="C33" s="183"/>
    </row>
    <row r="34" spans="1:3" x14ac:dyDescent="0.25">
      <c r="A34" s="27"/>
      <c r="B34" s="27"/>
      <c r="C34" s="27"/>
    </row>
    <row r="35" spans="1:3" ht="15.75" thickBot="1" x14ac:dyDescent="0.3">
      <c r="A35" s="75" t="s">
        <v>70</v>
      </c>
      <c r="B35" s="76" t="s">
        <v>98</v>
      </c>
      <c r="C35" s="27"/>
    </row>
    <row r="36" spans="1:3" ht="15.75" thickTop="1" x14ac:dyDescent="0.25">
      <c r="A36" s="89" t="s">
        <v>159</v>
      </c>
      <c r="B36" s="90">
        <f>(455400-478900)/478900</f>
        <v>-4.9070787220714139E-2</v>
      </c>
      <c r="C36" s="27"/>
    </row>
    <row r="37" spans="1:3" x14ac:dyDescent="0.25">
      <c r="A37" s="91" t="s">
        <v>160</v>
      </c>
      <c r="B37" s="92">
        <f>(248300-283000)/283000</f>
        <v>-0.12261484098939929</v>
      </c>
      <c r="C37" s="27"/>
    </row>
    <row r="38" spans="1:3" x14ac:dyDescent="0.25">
      <c r="A38" s="89" t="s">
        <v>161</v>
      </c>
      <c r="B38" s="90">
        <f>(605900-586300)/586300</f>
        <v>3.3429984649496848E-2</v>
      </c>
      <c r="C38" s="27"/>
    </row>
    <row r="39" spans="1:3" x14ac:dyDescent="0.25">
      <c r="A39" s="91" t="s">
        <v>162</v>
      </c>
      <c r="B39" s="92">
        <f>(586300-607000)/607000</f>
        <v>-3.4102141680395388E-2</v>
      </c>
      <c r="C39" s="27"/>
    </row>
    <row r="40" spans="1:3" x14ac:dyDescent="0.25">
      <c r="A40" s="89" t="s">
        <v>163</v>
      </c>
      <c r="B40" s="90">
        <f>(607000-563000)/563000</f>
        <v>7.8152753108348141E-2</v>
      </c>
      <c r="C40" s="27"/>
    </row>
    <row r="41" spans="1:3" x14ac:dyDescent="0.25">
      <c r="A41" s="91" t="s">
        <v>165</v>
      </c>
      <c r="B41" s="92">
        <f>(563000-495800)/495800</f>
        <v>0.1355385235982251</v>
      </c>
      <c r="C41" s="27"/>
    </row>
    <row r="42" spans="1:3" x14ac:dyDescent="0.25">
      <c r="A42" s="93"/>
      <c r="B42" s="94"/>
    </row>
    <row r="50" spans="1:4" x14ac:dyDescent="0.25">
      <c r="A50" s="170" t="s">
        <v>155</v>
      </c>
      <c r="B50" s="170"/>
      <c r="C50" s="170"/>
      <c r="D50" s="184"/>
    </row>
    <row r="51" spans="1:4" x14ac:dyDescent="0.25">
      <c r="A51" s="184"/>
      <c r="B51" s="184"/>
      <c r="C51" s="184"/>
      <c r="D51" s="184"/>
    </row>
    <row r="53" spans="1:4" ht="15.75" thickBot="1" x14ac:dyDescent="0.3">
      <c r="A53" s="175" t="s">
        <v>156</v>
      </c>
      <c r="B53" s="175" t="s">
        <v>70</v>
      </c>
      <c r="C53" s="175" t="s">
        <v>213</v>
      </c>
      <c r="D53" s="179" t="s">
        <v>214</v>
      </c>
    </row>
    <row r="54" spans="1:4" ht="15.75" thickTop="1" x14ac:dyDescent="0.25">
      <c r="A54" s="176"/>
      <c r="B54" s="176"/>
      <c r="C54" s="176"/>
      <c r="D54" s="176"/>
    </row>
    <row r="55" spans="1:4" x14ac:dyDescent="0.25">
      <c r="A55" s="95"/>
      <c r="B55" s="96">
        <v>-6</v>
      </c>
      <c r="C55" s="97">
        <f>C56/(1-B41)</f>
        <v>733644.09138536977</v>
      </c>
      <c r="D55" s="180"/>
    </row>
    <row r="56" spans="1:4" x14ac:dyDescent="0.25">
      <c r="A56" s="98"/>
      <c r="B56" s="99">
        <v>-5</v>
      </c>
      <c r="C56" s="100">
        <f>C57/(1-B40)</f>
        <v>634207.05439243536</v>
      </c>
      <c r="D56" s="181"/>
    </row>
    <row r="57" spans="1:4" x14ac:dyDescent="0.25">
      <c r="A57" s="95"/>
      <c r="B57" s="96">
        <v>-4</v>
      </c>
      <c r="C57" s="97">
        <f>C58/(1-(-B39))</f>
        <v>584642.02705093066</v>
      </c>
      <c r="D57" s="181"/>
    </row>
    <row r="58" spans="1:4" x14ac:dyDescent="0.25">
      <c r="A58" s="98"/>
      <c r="B58" s="99">
        <v>-3</v>
      </c>
      <c r="C58" s="100">
        <f>C59/(1-B38)</f>
        <v>564704.48181212624</v>
      </c>
      <c r="D58" s="181"/>
    </row>
    <row r="59" spans="1:4" x14ac:dyDescent="0.25">
      <c r="A59" s="95"/>
      <c r="B59" s="96">
        <v>-2</v>
      </c>
      <c r="C59" s="97">
        <f>C60/(1-(-B37))</f>
        <v>545826.41965364479</v>
      </c>
      <c r="D59" s="181"/>
    </row>
    <row r="60" spans="1:4" x14ac:dyDescent="0.25">
      <c r="A60" s="98"/>
      <c r="B60" s="99">
        <v>-1</v>
      </c>
      <c r="C60" s="100">
        <f>C61/(1-(-B36))</f>
        <v>478900</v>
      </c>
      <c r="D60" s="181"/>
    </row>
    <row r="61" spans="1:4" x14ac:dyDescent="0.25">
      <c r="A61" s="95"/>
      <c r="B61" s="96">
        <v>0</v>
      </c>
      <c r="C61" s="97">
        <v>455400</v>
      </c>
      <c r="D61" s="181"/>
    </row>
    <row r="62" spans="1:4" x14ac:dyDescent="0.25">
      <c r="A62" s="171" t="s">
        <v>158</v>
      </c>
      <c r="B62" s="101">
        <v>1</v>
      </c>
      <c r="C62" s="102">
        <f>-42291*B62+444172</f>
        <v>401881</v>
      </c>
      <c r="D62" s="102">
        <f>C62*(1+$B$13)^-B62</f>
        <v>373192.61998115998</v>
      </c>
    </row>
    <row r="63" spans="1:4" x14ac:dyDescent="0.25">
      <c r="A63" s="172"/>
      <c r="B63" s="96">
        <v>2</v>
      </c>
      <c r="C63" s="103">
        <f t="shared" ref="C63:C67" si="1">-42291*B63+444172</f>
        <v>359590</v>
      </c>
      <c r="D63" s="103">
        <f t="shared" ref="D63:D75" si="2">C63*(1+$B$13)^-B63</f>
        <v>310083.56676385342</v>
      </c>
    </row>
    <row r="64" spans="1:4" x14ac:dyDescent="0.25">
      <c r="A64" s="172"/>
      <c r="B64" s="104">
        <v>3</v>
      </c>
      <c r="C64" s="105">
        <f t="shared" si="1"/>
        <v>317299</v>
      </c>
      <c r="D64" s="105">
        <f t="shared" si="2"/>
        <v>254082.89034631793</v>
      </c>
    </row>
    <row r="65" spans="1:7" x14ac:dyDescent="0.25">
      <c r="A65" s="172"/>
      <c r="B65" s="96">
        <v>4</v>
      </c>
      <c r="C65" s="103">
        <f t="shared" si="1"/>
        <v>275008</v>
      </c>
      <c r="D65" s="103">
        <f t="shared" si="2"/>
        <v>204497.3186781996</v>
      </c>
    </row>
    <row r="66" spans="1:7" x14ac:dyDescent="0.25">
      <c r="A66" s="172"/>
      <c r="B66" s="104">
        <v>5</v>
      </c>
      <c r="C66" s="105">
        <f t="shared" si="1"/>
        <v>232717</v>
      </c>
      <c r="D66" s="105">
        <f t="shared" si="2"/>
        <v>160696.33526068259</v>
      </c>
    </row>
    <row r="67" spans="1:7" x14ac:dyDescent="0.25">
      <c r="A67" s="173"/>
      <c r="B67" s="106">
        <v>6</v>
      </c>
      <c r="C67" s="107">
        <f t="shared" si="1"/>
        <v>190426</v>
      </c>
      <c r="D67" s="107">
        <f t="shared" si="2"/>
        <v>122106.75231782386</v>
      </c>
    </row>
    <row r="68" spans="1:7" x14ac:dyDescent="0.25">
      <c r="A68" s="174" t="s">
        <v>196</v>
      </c>
      <c r="B68" s="101">
        <v>7</v>
      </c>
      <c r="C68" s="102">
        <f>C67*1.01</f>
        <v>192330.26</v>
      </c>
      <c r="D68" s="102">
        <f t="shared" si="2"/>
        <v>114524.03125061413</v>
      </c>
    </row>
    <row r="69" spans="1:7" x14ac:dyDescent="0.25">
      <c r="A69" s="172"/>
      <c r="B69" s="108">
        <v>8</v>
      </c>
      <c r="C69" s="103">
        <f>C68*1.015</f>
        <v>195215.2139</v>
      </c>
      <c r="D69" s="103">
        <f t="shared" si="2"/>
        <v>107943.93395636832</v>
      </c>
    </row>
    <row r="70" spans="1:7" x14ac:dyDescent="0.25">
      <c r="A70" s="172"/>
      <c r="B70" s="104">
        <v>9</v>
      </c>
      <c r="C70" s="105">
        <f>C69*1.02</f>
        <v>199119.518178</v>
      </c>
      <c r="D70" s="105">
        <f t="shared" si="2"/>
        <v>102243.09463432062</v>
      </c>
    </row>
    <row r="71" spans="1:7" x14ac:dyDescent="0.25">
      <c r="A71" s="172"/>
      <c r="B71" s="108">
        <v>10</v>
      </c>
      <c r="C71" s="103">
        <f>C70*1.025</f>
        <v>204097.50613244998</v>
      </c>
      <c r="D71" s="103">
        <f t="shared" si="2"/>
        <v>97318.0557692523</v>
      </c>
    </row>
    <row r="72" spans="1:7" x14ac:dyDescent="0.25">
      <c r="A72" s="172"/>
      <c r="B72" s="104">
        <v>11</v>
      </c>
      <c r="C72" s="105">
        <f>C71*1.03</f>
        <v>210220.43131642349</v>
      </c>
      <c r="D72" s="105">
        <f t="shared" si="2"/>
        <v>93082.11040113843</v>
      </c>
    </row>
    <row r="73" spans="1:7" x14ac:dyDescent="0.25">
      <c r="A73" s="172"/>
      <c r="B73" s="108">
        <v>12</v>
      </c>
      <c r="C73" s="103">
        <f>C72*1.035</f>
        <v>217578.14641249829</v>
      </c>
      <c r="D73" s="103">
        <f t="shared" si="2"/>
        <v>89462.729357361051</v>
      </c>
    </row>
    <row r="74" spans="1:7" x14ac:dyDescent="0.25">
      <c r="A74" s="172"/>
      <c r="B74" s="104">
        <v>13</v>
      </c>
      <c r="C74" s="105">
        <f>C73*1.04</f>
        <v>226281.27226899823</v>
      </c>
      <c r="D74" s="105">
        <f t="shared" si="2"/>
        <v>86399.465448529721</v>
      </c>
    </row>
    <row r="75" spans="1:7" x14ac:dyDescent="0.25">
      <c r="A75" s="172"/>
      <c r="B75" s="108">
        <v>14</v>
      </c>
      <c r="C75" s="103">
        <f>C74*1.045</f>
        <v>236463.92952110313</v>
      </c>
      <c r="D75" s="103">
        <f t="shared" si="2"/>
        <v>83842.248837629537</v>
      </c>
      <c r="G75" s="109"/>
    </row>
    <row r="76" spans="1:7" x14ac:dyDescent="0.25">
      <c r="A76" s="98" t="s">
        <v>197</v>
      </c>
      <c r="B76" s="99">
        <v>15</v>
      </c>
      <c r="C76" s="100">
        <f>C75*1.45</f>
        <v>342872.69780559954</v>
      </c>
      <c r="D76" s="100">
        <f>C76/(B13-4.5%)*(1+B13)^-B75</f>
        <v>3814257.7038670196</v>
      </c>
      <c r="G76" s="109"/>
    </row>
    <row r="77" spans="1:7" x14ac:dyDescent="0.25">
      <c r="A77" s="177" t="s">
        <v>215</v>
      </c>
      <c r="B77" s="178"/>
      <c r="C77" s="178"/>
      <c r="D77" s="110">
        <f>SUM(D62:D76)</f>
        <v>6013732.8568702713</v>
      </c>
    </row>
    <row r="78" spans="1:7" x14ac:dyDescent="0.25">
      <c r="A78" s="111"/>
      <c r="B78" s="112"/>
      <c r="C78" s="112"/>
      <c r="D78" s="113"/>
    </row>
    <row r="79" spans="1:7" x14ac:dyDescent="0.25">
      <c r="A79" s="111"/>
      <c r="B79" s="112"/>
      <c r="C79" s="112"/>
      <c r="D79" s="113"/>
    </row>
    <row r="80" spans="1:7" x14ac:dyDescent="0.25">
      <c r="A80" s="111"/>
      <c r="B80" s="112"/>
      <c r="C80" s="112"/>
      <c r="D80" s="113"/>
    </row>
    <row r="81" spans="1:4" x14ac:dyDescent="0.25">
      <c r="A81" s="111"/>
      <c r="B81" s="112"/>
      <c r="C81" s="112"/>
      <c r="D81" s="113"/>
    </row>
    <row r="82" spans="1:4" x14ac:dyDescent="0.25">
      <c r="A82" s="111"/>
      <c r="B82" s="112"/>
      <c r="C82" s="112"/>
      <c r="D82" s="113"/>
    </row>
    <row r="83" spans="1:4" x14ac:dyDescent="0.25">
      <c r="A83" s="111"/>
      <c r="B83" s="112"/>
      <c r="C83" s="112"/>
      <c r="D83" s="113"/>
    </row>
    <row r="84" spans="1:4" x14ac:dyDescent="0.25">
      <c r="A84" s="111"/>
      <c r="B84" s="112"/>
      <c r="C84" s="112"/>
      <c r="D84" s="113"/>
    </row>
    <row r="85" spans="1:4" x14ac:dyDescent="0.25">
      <c r="A85" s="111"/>
      <c r="B85" s="112"/>
      <c r="C85" s="112"/>
      <c r="D85" s="113"/>
    </row>
    <row r="86" spans="1:4" x14ac:dyDescent="0.25">
      <c r="A86" s="111"/>
      <c r="B86" s="112"/>
      <c r="C86" s="112"/>
      <c r="D86" s="113"/>
    </row>
    <row r="87" spans="1:4" x14ac:dyDescent="0.25">
      <c r="A87" s="111"/>
      <c r="B87" s="112"/>
      <c r="C87" s="112"/>
      <c r="D87" s="113"/>
    </row>
    <row r="88" spans="1:4" x14ac:dyDescent="0.25">
      <c r="A88" s="111"/>
      <c r="B88" s="112"/>
      <c r="C88" s="112"/>
      <c r="D88" s="113"/>
    </row>
    <row r="89" spans="1:4" x14ac:dyDescent="0.25">
      <c r="A89" s="111"/>
      <c r="B89" s="112"/>
      <c r="C89" s="112"/>
      <c r="D89" s="113"/>
    </row>
    <row r="90" spans="1:4" x14ac:dyDescent="0.25">
      <c r="A90" s="111"/>
      <c r="B90" s="112"/>
      <c r="C90" s="112"/>
      <c r="D90" s="113"/>
    </row>
    <row r="91" spans="1:4" x14ac:dyDescent="0.25">
      <c r="A91" s="111"/>
      <c r="B91" s="112"/>
      <c r="C91" s="112"/>
      <c r="D91" s="113"/>
    </row>
    <row r="92" spans="1:4" x14ac:dyDescent="0.25">
      <c r="A92" s="111"/>
      <c r="B92" s="112"/>
      <c r="C92" s="112"/>
      <c r="D92" s="113"/>
    </row>
    <row r="93" spans="1:4" x14ac:dyDescent="0.25">
      <c r="A93" s="111"/>
      <c r="B93" s="112"/>
      <c r="C93" s="112"/>
      <c r="D93" s="113"/>
    </row>
    <row r="94" spans="1:4" x14ac:dyDescent="0.25">
      <c r="A94" s="111"/>
      <c r="B94" s="112"/>
      <c r="C94" s="112"/>
      <c r="D94" s="113"/>
    </row>
    <row r="95" spans="1:4" x14ac:dyDescent="0.25">
      <c r="A95" s="111"/>
      <c r="B95" s="112"/>
      <c r="C95" s="112"/>
      <c r="D95" s="113"/>
    </row>
    <row r="96" spans="1:4" x14ac:dyDescent="0.25">
      <c r="A96" s="111"/>
      <c r="B96" s="112"/>
      <c r="C96" s="112"/>
      <c r="D96" s="113"/>
    </row>
    <row r="97" spans="1:4" x14ac:dyDescent="0.25">
      <c r="A97" s="111"/>
      <c r="B97" s="112"/>
      <c r="C97" s="112"/>
      <c r="D97" s="113"/>
    </row>
    <row r="98" spans="1:4" x14ac:dyDescent="0.25">
      <c r="A98" s="111"/>
      <c r="B98" s="112"/>
      <c r="C98" s="112"/>
      <c r="D98" s="113"/>
    </row>
    <row r="100" spans="1:4" x14ac:dyDescent="0.25">
      <c r="A100" s="170" t="s">
        <v>198</v>
      </c>
      <c r="B100" s="170"/>
      <c r="C100" s="170"/>
      <c r="D100" s="170"/>
    </row>
    <row r="101" spans="1:4" x14ac:dyDescent="0.25">
      <c r="A101" s="170"/>
      <c r="B101" s="170"/>
      <c r="C101" s="170"/>
      <c r="D101" s="170"/>
    </row>
    <row r="102" spans="1:4" x14ac:dyDescent="0.25">
      <c r="A102" s="175" t="s">
        <v>199</v>
      </c>
      <c r="B102" s="175" t="s">
        <v>71</v>
      </c>
      <c r="C102" s="175" t="s">
        <v>213</v>
      </c>
    </row>
    <row r="103" spans="1:4" x14ac:dyDescent="0.25">
      <c r="A103" s="176"/>
      <c r="B103" s="176"/>
      <c r="C103" s="176"/>
    </row>
    <row r="104" spans="1:4" x14ac:dyDescent="0.25">
      <c r="A104" s="114">
        <v>0</v>
      </c>
      <c r="B104" s="115">
        <v>7.6872849254865497E-2</v>
      </c>
      <c r="C104" s="100">
        <f>NPV($B$104,C62:C75)+(C76/($B$104-4.5%)*(1+$B$104)^-B75)</f>
        <v>6013732.8568702545</v>
      </c>
      <c r="D104" s="116"/>
    </row>
    <row r="105" spans="1:4" x14ac:dyDescent="0.25">
      <c r="A105" s="117">
        <v>-0.05</v>
      </c>
      <c r="B105" s="118">
        <f>$B$13+A105</f>
        <v>2.6872849254865466E-2</v>
      </c>
      <c r="C105" s="119">
        <f t="dataTable" ref="C105:C115" dt2D="0" dtr="0" r1="B104"/>
        <v>-10140020.017237125</v>
      </c>
      <c r="D105" s="116"/>
    </row>
    <row r="106" spans="1:4" x14ac:dyDescent="0.25">
      <c r="A106" s="114">
        <v>-0.04</v>
      </c>
      <c r="B106" s="115">
        <f t="shared" ref="B106:B115" si="3">$B$13+A106</f>
        <v>3.6872849254865468E-2</v>
      </c>
      <c r="C106" s="100">
        <v>-22672844.771210164</v>
      </c>
    </row>
    <row r="107" spans="1:4" x14ac:dyDescent="0.25">
      <c r="A107" s="117">
        <v>-0.03</v>
      </c>
      <c r="B107" s="118">
        <f t="shared" si="3"/>
        <v>4.687284925486547E-2</v>
      </c>
      <c r="C107" s="119">
        <v>98993365.10991466</v>
      </c>
    </row>
    <row r="108" spans="1:4" x14ac:dyDescent="0.25">
      <c r="A108" s="114">
        <v>-0.02</v>
      </c>
      <c r="B108" s="115">
        <f t="shared" si="3"/>
        <v>5.6872849254865465E-2</v>
      </c>
      <c r="C108" s="100">
        <v>15757111.794827726</v>
      </c>
    </row>
    <row r="109" spans="1:4" x14ac:dyDescent="0.25">
      <c r="A109" s="117">
        <v>-0.01</v>
      </c>
      <c r="B109" s="118">
        <f t="shared" si="3"/>
        <v>6.6872849254865474E-2</v>
      </c>
      <c r="C109" s="119">
        <v>8650161.8257967271</v>
      </c>
    </row>
    <row r="110" spans="1:4" x14ac:dyDescent="0.25">
      <c r="A110" s="114">
        <v>0</v>
      </c>
      <c r="B110" s="115">
        <f t="shared" si="3"/>
        <v>7.6872849254865469E-2</v>
      </c>
      <c r="C110" s="100">
        <v>6013732.8568702713</v>
      </c>
    </row>
    <row r="111" spans="1:4" x14ac:dyDescent="0.25">
      <c r="A111" s="117">
        <v>0.01</v>
      </c>
      <c r="B111" s="118">
        <f t="shared" si="3"/>
        <v>8.6872849254865464E-2</v>
      </c>
      <c r="C111" s="119">
        <v>4643097.3823125958</v>
      </c>
    </row>
    <row r="112" spans="1:4" x14ac:dyDescent="0.25">
      <c r="A112" s="114">
        <v>0.02</v>
      </c>
      <c r="B112" s="115">
        <f t="shared" si="3"/>
        <v>9.6872849254865473E-2</v>
      </c>
      <c r="C112" s="100">
        <v>3804988.0311146788</v>
      </c>
    </row>
    <row r="113" spans="1:3" x14ac:dyDescent="0.25">
      <c r="A113" s="117">
        <v>0.03</v>
      </c>
      <c r="B113" s="118">
        <f t="shared" si="3"/>
        <v>0.10687284925486547</v>
      </c>
      <c r="C113" s="119">
        <v>3240355.6699363673</v>
      </c>
    </row>
    <row r="114" spans="1:3" x14ac:dyDescent="0.25">
      <c r="A114" s="114">
        <v>0.04</v>
      </c>
      <c r="B114" s="115">
        <f t="shared" si="3"/>
        <v>0.11687284925486546</v>
      </c>
      <c r="C114" s="100">
        <v>2834444.8848372288</v>
      </c>
    </row>
    <row r="115" spans="1:3" x14ac:dyDescent="0.25">
      <c r="A115" s="117">
        <v>0.05</v>
      </c>
      <c r="B115" s="118">
        <f t="shared" si="3"/>
        <v>0.12687284925486547</v>
      </c>
      <c r="C115" s="119">
        <v>2528655.9740219805</v>
      </c>
    </row>
  </sheetData>
  <sheetProtection password="D4C8" sheet="1" objects="1" scenarios="1"/>
  <mergeCells count="17">
    <mergeCell ref="A1:D1"/>
    <mergeCell ref="A20:B20"/>
    <mergeCell ref="A28:B28"/>
    <mergeCell ref="A33:C33"/>
    <mergeCell ref="A50:D51"/>
    <mergeCell ref="C53:C54"/>
    <mergeCell ref="B53:B54"/>
    <mergeCell ref="A53:A54"/>
    <mergeCell ref="D53:D54"/>
    <mergeCell ref="D55:D61"/>
    <mergeCell ref="A62:A67"/>
    <mergeCell ref="A68:A75"/>
    <mergeCell ref="A100:D101"/>
    <mergeCell ref="A102:A103"/>
    <mergeCell ref="B102:B103"/>
    <mergeCell ref="C102:C103"/>
    <mergeCell ref="A77:C77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L24" sqref="L24"/>
    </sheetView>
  </sheetViews>
  <sheetFormatPr defaultRowHeight="15" x14ac:dyDescent="0.25"/>
  <cols>
    <col min="1" max="1" width="38.5703125" style="24" customWidth="1"/>
    <col min="2" max="2" width="15.42578125" style="24" customWidth="1"/>
    <col min="3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2" spans="1:4" x14ac:dyDescent="0.25">
      <c r="A2" s="42"/>
      <c r="B2" s="42"/>
      <c r="C2" s="42"/>
      <c r="D2" s="42"/>
    </row>
    <row r="3" spans="1:4" x14ac:dyDescent="0.25">
      <c r="A3" s="42"/>
      <c r="B3" s="42"/>
      <c r="C3" s="42"/>
      <c r="D3" s="42"/>
    </row>
    <row r="5" spans="1:4" x14ac:dyDescent="0.25">
      <c r="A5" s="29" t="s">
        <v>94</v>
      </c>
      <c r="B5" s="27"/>
    </row>
    <row r="6" spans="1:4" x14ac:dyDescent="0.25">
      <c r="A6" s="27"/>
      <c r="B6" s="27"/>
    </row>
    <row r="7" spans="1:4" ht="15.75" thickBot="1" x14ac:dyDescent="0.3">
      <c r="A7" s="75" t="s">
        <v>88</v>
      </c>
      <c r="B7" s="76" t="s">
        <v>85</v>
      </c>
    </row>
    <row r="8" spans="1:4" ht="15.75" thickTop="1" x14ac:dyDescent="0.25">
      <c r="A8" s="58" t="str">
        <f>'Demonstração Resultados'!A25</f>
        <v>Resultado Liquido do Exercicio</v>
      </c>
      <c r="B8" s="59">
        <f>'Demonstração Resultados'!C25</f>
        <v>206130</v>
      </c>
    </row>
    <row r="9" spans="1:4" x14ac:dyDescent="0.25">
      <c r="A9" s="78" t="s">
        <v>90</v>
      </c>
      <c r="B9" s="65">
        <f>'Demonstração Resultados'!C14</f>
        <v>225929</v>
      </c>
    </row>
    <row r="10" spans="1:4" x14ac:dyDescent="0.25">
      <c r="A10" s="58" t="s">
        <v>91</v>
      </c>
      <c r="B10" s="59">
        <v>-294000</v>
      </c>
    </row>
    <row r="11" spans="1:4" ht="15.75" thickBot="1" x14ac:dyDescent="0.3">
      <c r="A11" s="80" t="s">
        <v>210</v>
      </c>
      <c r="B11" s="61">
        <f>-'Modelo Património 2011'!B47+'Modelo Património 2010'!B47</f>
        <v>41475</v>
      </c>
    </row>
    <row r="12" spans="1:4" ht="15.75" thickTop="1" x14ac:dyDescent="0.25">
      <c r="A12" s="82" t="s">
        <v>93</v>
      </c>
      <c r="B12" s="120">
        <f>SUBTOTAL(109,'Mod. Rendimento 2011 opt invest'!$B$8:$B$11)</f>
        <v>179534</v>
      </c>
    </row>
    <row r="13" spans="1:4" x14ac:dyDescent="0.25">
      <c r="A13" s="27"/>
      <c r="B13" s="27"/>
    </row>
    <row r="14" spans="1:4" x14ac:dyDescent="0.25">
      <c r="A14" s="29" t="s">
        <v>151</v>
      </c>
      <c r="B14" s="27"/>
    </row>
    <row r="15" spans="1:4" x14ac:dyDescent="0.25">
      <c r="A15" s="27"/>
      <c r="B15" s="27"/>
    </row>
    <row r="16" spans="1:4" x14ac:dyDescent="0.25">
      <c r="A16" s="26" t="s">
        <v>87</v>
      </c>
      <c r="B16" s="26" t="s">
        <v>98</v>
      </c>
    </row>
    <row r="17" spans="1:2" x14ac:dyDescent="0.25">
      <c r="A17" s="27" t="s">
        <v>72</v>
      </c>
      <c r="B17" s="121">
        <v>0.05</v>
      </c>
    </row>
    <row r="18" spans="1:2" x14ac:dyDescent="0.25">
      <c r="A18" s="27" t="s">
        <v>95</v>
      </c>
      <c r="B18" s="121">
        <f>9.06%-3.57%</f>
        <v>5.4900000000000004E-2</v>
      </c>
    </row>
    <row r="19" spans="1:2" x14ac:dyDescent="0.25">
      <c r="A19" s="27" t="s">
        <v>96</v>
      </c>
      <c r="B19" s="121">
        <v>0</v>
      </c>
    </row>
    <row r="20" spans="1:2" x14ac:dyDescent="0.25">
      <c r="A20" s="27" t="s">
        <v>97</v>
      </c>
      <c r="B20" s="121">
        <v>0.03</v>
      </c>
    </row>
    <row r="21" spans="1:2" x14ac:dyDescent="0.25">
      <c r="A21" s="26" t="s">
        <v>102</v>
      </c>
      <c r="B21" s="85">
        <f>SUBTOTAL(109,Tabela14[Valor em %])</f>
        <v>0.13490000000000002</v>
      </c>
    </row>
    <row r="23" spans="1:2" x14ac:dyDescent="0.25">
      <c r="A23" s="52" t="s">
        <v>87</v>
      </c>
      <c r="B23" s="52" t="s">
        <v>98</v>
      </c>
    </row>
    <row r="24" spans="1:2" x14ac:dyDescent="0.25">
      <c r="A24" s="27" t="s">
        <v>99</v>
      </c>
      <c r="B24" s="122">
        <v>-4.9000000000000002E-2</v>
      </c>
    </row>
    <row r="26" spans="1:2" x14ac:dyDescent="0.25">
      <c r="A26" s="25" t="s">
        <v>218</v>
      </c>
    </row>
    <row r="28" spans="1:2" x14ac:dyDescent="0.25">
      <c r="A28" s="52" t="s">
        <v>87</v>
      </c>
      <c r="B28" s="52" t="s">
        <v>89</v>
      </c>
    </row>
    <row r="29" spans="1:2" x14ac:dyDescent="0.25">
      <c r="A29" s="24" t="str">
        <f>Balanço!A27</f>
        <v>Capital Próprio</v>
      </c>
      <c r="B29" s="109">
        <f>'Mod. Rendimento 2011 opt invest'!$B$12/(Tabela14[[#Totals],[Valor em %]]-Tabela19[Valor em %])</f>
        <v>976258.83632408909</v>
      </c>
    </row>
    <row r="30" spans="1:2" x14ac:dyDescent="0.25">
      <c r="A30" s="24" t="s">
        <v>73</v>
      </c>
      <c r="B30" s="109">
        <f>Balanço!C58</f>
        <v>3152697</v>
      </c>
    </row>
    <row r="31" spans="1:2" x14ac:dyDescent="0.25">
      <c r="A31" s="52" t="s">
        <v>219</v>
      </c>
      <c r="B31" s="53">
        <f>SUBTOTAL(109,Tabela20[Unidade: (10³ €)])</f>
        <v>4128955.8363240892</v>
      </c>
    </row>
  </sheetData>
  <sheetProtection password="D4C8" sheet="1" objects="1" scenarios="1"/>
  <mergeCells count="1">
    <mergeCell ref="A1:D1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3"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showGridLines="0" topLeftCell="A5" workbookViewId="0">
      <selection activeCell="L24" sqref="L24"/>
    </sheetView>
  </sheetViews>
  <sheetFormatPr defaultRowHeight="15" x14ac:dyDescent="0.25"/>
  <cols>
    <col min="1" max="1" width="39.7109375" style="24" customWidth="1"/>
    <col min="2" max="2" width="13.28515625" style="24" customWidth="1"/>
    <col min="3" max="3" width="11.140625" style="24" customWidth="1"/>
    <col min="4" max="4" width="10.28515625" style="24" customWidth="1"/>
    <col min="5" max="16384" width="9.140625" style="24"/>
  </cols>
  <sheetData>
    <row r="1" spans="1:4" x14ac:dyDescent="0.25">
      <c r="A1" s="167" t="s">
        <v>79</v>
      </c>
      <c r="B1" s="167"/>
      <c r="C1" s="167"/>
      <c r="D1" s="167"/>
    </row>
    <row r="2" spans="1:4" x14ac:dyDescent="0.25">
      <c r="A2" s="42"/>
      <c r="B2" s="42"/>
      <c r="C2" s="42"/>
      <c r="D2" s="42"/>
    </row>
    <row r="3" spans="1:4" x14ac:dyDescent="0.25">
      <c r="A3" s="42"/>
      <c r="B3" s="42"/>
      <c r="C3" s="42"/>
      <c r="D3" s="42"/>
    </row>
    <row r="5" spans="1:4" x14ac:dyDescent="0.25">
      <c r="A5" s="29" t="s">
        <v>94</v>
      </c>
    </row>
    <row r="7" spans="1:4" x14ac:dyDescent="0.25">
      <c r="A7" s="26" t="s">
        <v>88</v>
      </c>
      <c r="B7" s="26" t="s">
        <v>85</v>
      </c>
    </row>
    <row r="8" spans="1:4" x14ac:dyDescent="0.25">
      <c r="A8" s="27" t="s">
        <v>211</v>
      </c>
      <c r="B8" s="47">
        <f>'Demonstração Resultados'!C19*(1-'Demonstração Resultados'!B29)</f>
        <v>263276.9852608642</v>
      </c>
    </row>
    <row r="9" spans="1:4" x14ac:dyDescent="0.25">
      <c r="A9" s="27" t="s">
        <v>90</v>
      </c>
      <c r="B9" s="47">
        <f>'Demonstração Resultados'!C14</f>
        <v>225929</v>
      </c>
    </row>
    <row r="10" spans="1:4" x14ac:dyDescent="0.25">
      <c r="A10" s="27" t="s">
        <v>91</v>
      </c>
      <c r="B10" s="47">
        <f>'Mod. Rendimento 2011 opt invest'!B10</f>
        <v>-294000</v>
      </c>
    </row>
    <row r="11" spans="1:4" x14ac:dyDescent="0.25">
      <c r="A11" s="27" t="s">
        <v>185</v>
      </c>
      <c r="B11" s="47">
        <f>-'Modelo Património 2011'!B47+'Modelo Património 2010'!B47</f>
        <v>41475</v>
      </c>
    </row>
    <row r="12" spans="1:4" x14ac:dyDescent="0.25">
      <c r="A12" s="26" t="s">
        <v>93</v>
      </c>
      <c r="B12" s="123">
        <f>SUBTOTAL(109,Tabela1321[Unidade: (10³ €)])</f>
        <v>236680.9852608642</v>
      </c>
    </row>
    <row r="14" spans="1:4" x14ac:dyDescent="0.25">
      <c r="A14" s="25" t="str">
        <f>'Mod. Rendimento 2011 opt invest'!A14</f>
        <v>Determinação do Custo Médio do Capital Próprio (WACC)</v>
      </c>
    </row>
    <row r="16" spans="1:4" x14ac:dyDescent="0.25">
      <c r="A16" s="26" t="s">
        <v>87</v>
      </c>
      <c r="B16" s="26" t="s">
        <v>98</v>
      </c>
    </row>
    <row r="17" spans="1:7" x14ac:dyDescent="0.25">
      <c r="A17" s="27" t="s">
        <v>72</v>
      </c>
      <c r="B17" s="121">
        <v>0.05</v>
      </c>
    </row>
    <row r="18" spans="1:7" x14ac:dyDescent="0.25">
      <c r="A18" s="27" t="s">
        <v>95</v>
      </c>
      <c r="B18" s="121">
        <f>9.06%-3.57%</f>
        <v>5.4900000000000004E-2</v>
      </c>
    </row>
    <row r="19" spans="1:7" x14ac:dyDescent="0.25">
      <c r="A19" s="27" t="s">
        <v>130</v>
      </c>
      <c r="B19" s="121">
        <v>0</v>
      </c>
    </row>
    <row r="20" spans="1:7" x14ac:dyDescent="0.25">
      <c r="A20" s="27" t="s">
        <v>131</v>
      </c>
      <c r="B20" s="121">
        <v>0.03</v>
      </c>
    </row>
    <row r="21" spans="1:7" x14ac:dyDescent="0.25">
      <c r="A21" s="26" t="s">
        <v>109</v>
      </c>
      <c r="B21" s="85">
        <f>SUBTOTAL(109,Tabela1423[Valor em %])</f>
        <v>0.13490000000000002</v>
      </c>
      <c r="D21" s="24">
        <v>1</v>
      </c>
      <c r="G21" s="24" t="s">
        <v>216</v>
      </c>
    </row>
    <row r="22" spans="1:7" x14ac:dyDescent="0.25">
      <c r="A22" s="124" t="s">
        <v>107</v>
      </c>
      <c r="B22" s="125">
        <f>-'Demonstração Resultados'!C20/Balanço!C47</f>
        <v>3.6648128372417238E-2</v>
      </c>
      <c r="C22" s="27"/>
    </row>
    <row r="23" spans="1:7" ht="15.75" thickBot="1" x14ac:dyDescent="0.3">
      <c r="A23" s="80" t="s">
        <v>108</v>
      </c>
      <c r="B23" s="81">
        <f>B22*(1-'Demonstração Resultados'!B29)</f>
        <v>2.5881808375496324E-2</v>
      </c>
      <c r="C23" s="27"/>
      <c r="D23" s="24">
        <v>3</v>
      </c>
    </row>
    <row r="24" spans="1:7" ht="15.75" thickTop="1" x14ac:dyDescent="0.25">
      <c r="A24" s="82" t="s">
        <v>115</v>
      </c>
      <c r="B24" s="126">
        <f>C28</f>
        <v>0.8486054214537524</v>
      </c>
      <c r="D24" s="24">
        <v>4</v>
      </c>
    </row>
    <row r="26" spans="1:7" x14ac:dyDescent="0.25">
      <c r="A26" s="26" t="s">
        <v>111</v>
      </c>
      <c r="B26" s="26" t="s">
        <v>85</v>
      </c>
      <c r="C26" s="26" t="s">
        <v>98</v>
      </c>
    </row>
    <row r="27" spans="1:7" x14ac:dyDescent="0.25">
      <c r="A27" s="27" t="s">
        <v>74</v>
      </c>
      <c r="B27" s="47">
        <f>Tabela1321[[#Totals],[Unidade: (10³ €)]]/D35</f>
        <v>2589888.0026419628</v>
      </c>
      <c r="C27" s="127">
        <f>C28+C29</f>
        <v>1</v>
      </c>
    </row>
    <row r="28" spans="1:7" x14ac:dyDescent="0.25">
      <c r="A28" s="27" t="s">
        <v>110</v>
      </c>
      <c r="B28" s="47">
        <f>Balanço!C47</f>
        <v>2197793</v>
      </c>
      <c r="C28" s="127">
        <f>Tabela25[[#This Row],[Unidade: (10³ €)]]/B27</f>
        <v>0.8486054214537524</v>
      </c>
    </row>
    <row r="29" spans="1:7" x14ac:dyDescent="0.25">
      <c r="A29" s="27" t="s">
        <v>112</v>
      </c>
      <c r="B29" s="47">
        <f>B27-B28</f>
        <v>392095.00264196284</v>
      </c>
      <c r="C29" s="127">
        <f>Tabela25[[#This Row],[Unidade: (10³ €)]]/B27</f>
        <v>0.15139457854624755</v>
      </c>
    </row>
    <row r="30" spans="1:7" ht="15.75" thickBot="1" x14ac:dyDescent="0.3">
      <c r="A30" s="26" t="s">
        <v>113</v>
      </c>
      <c r="B30" s="26"/>
      <c r="C30" s="72">
        <f>C29</f>
        <v>0.15139457854624755</v>
      </c>
      <c r="E30" s="24">
        <v>2</v>
      </c>
    </row>
    <row r="31" spans="1:7" ht="15.75" thickTop="1" x14ac:dyDescent="0.25">
      <c r="A31" s="82" t="s">
        <v>150</v>
      </c>
      <c r="B31" s="82"/>
      <c r="C31" s="128">
        <f>Tabela1423[[#Totals],[Valor em %]]*Tabela25[[#Totals],[Valor em %]]+B23*B24</f>
        <v>4.2386571550362115E-2</v>
      </c>
    </row>
    <row r="33" spans="1:4" x14ac:dyDescent="0.25">
      <c r="A33" s="26" t="s">
        <v>87</v>
      </c>
      <c r="B33" s="26" t="s">
        <v>98</v>
      </c>
    </row>
    <row r="34" spans="1:4" ht="15.75" thickBot="1" x14ac:dyDescent="0.3">
      <c r="A34" s="27" t="s">
        <v>99</v>
      </c>
      <c r="B34" s="121">
        <f>Tabela19[Valor em %]</f>
        <v>-4.9000000000000002E-2</v>
      </c>
    </row>
    <row r="35" spans="1:4" ht="15.75" thickTop="1" x14ac:dyDescent="0.25">
      <c r="A35" s="82" t="s">
        <v>117</v>
      </c>
      <c r="B35" s="129">
        <f>C31-B34</f>
        <v>9.1386571550362117E-2</v>
      </c>
      <c r="C35" s="130"/>
      <c r="D35" s="131">
        <v>9.1386571550362131E-2</v>
      </c>
    </row>
    <row r="36" spans="1:4" x14ac:dyDescent="0.25">
      <c r="C36" s="24" t="s">
        <v>186</v>
      </c>
      <c r="D36" s="132">
        <f>B35-D35</f>
        <v>0</v>
      </c>
    </row>
    <row r="37" spans="1:4" x14ac:dyDescent="0.25">
      <c r="C37" s="24" t="s">
        <v>187</v>
      </c>
    </row>
    <row r="38" spans="1:4" x14ac:dyDescent="0.25">
      <c r="C38" s="24" t="s">
        <v>188</v>
      </c>
    </row>
    <row r="41" spans="1:4" x14ac:dyDescent="0.25">
      <c r="A41" s="25"/>
    </row>
  </sheetData>
  <sheetProtection password="D4C8" sheet="1" objects="1" scenarios="1"/>
  <mergeCells count="1">
    <mergeCell ref="A1:D1"/>
  </mergeCells>
  <hyperlinks>
    <hyperlink ref="A1:D1" location="'Pressupostos do Trabalho'!A1" display="Voltar aos Pressupostos do Trabalho"/>
  </hyperlinks>
  <pageMargins left="0.7" right="0.7" top="0.75" bottom="0.75" header="0.3" footer="0.3"/>
  <pageSetup paperSize="9" orientation="portrait" horizontalDpi="4294967293" r:id="rId1"/>
  <drawing r:id="rId2"/>
  <legacyDrawing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14</vt:i4>
      </vt:variant>
      <vt:variant>
        <vt:lpstr>Intervalos com nome</vt:lpstr>
      </vt:variant>
      <vt:variant>
        <vt:i4>9</vt:i4>
      </vt:variant>
    </vt:vector>
  </HeadingPairs>
  <TitlesOfParts>
    <vt:vector size="23" baseType="lpstr">
      <vt:lpstr>Pressupostos do Trabalho</vt:lpstr>
      <vt:lpstr>Demonstração Resultados</vt:lpstr>
      <vt:lpstr>Balanço</vt:lpstr>
      <vt:lpstr>Modelo Património 2011</vt:lpstr>
      <vt:lpstr>Modelo Património 2010</vt:lpstr>
      <vt:lpstr>Variação Mod.Patrim.2011 e2010 </vt:lpstr>
      <vt:lpstr>Atualizaçao Cash flows</vt:lpstr>
      <vt:lpstr>Mod. Rendimento 2011 opt invest</vt:lpstr>
      <vt:lpstr>Mod.Rend.2011 Opt.Entid.Buil-UP</vt:lpstr>
      <vt:lpstr>Mod.Rend.2011 Optic.Enti. MCAPM</vt:lpstr>
      <vt:lpstr>Mod.Rendimento 2010 opt invest.</vt:lpstr>
      <vt:lpstr>Mod.Rend.2010 Optic.Ent.Buil-UP</vt:lpstr>
      <vt:lpstr>Mod.Rend.2010. Optic.Ent.MCAPM</vt:lpstr>
      <vt:lpstr>Quadros Resumo 2011-2010</vt:lpstr>
      <vt:lpstr>Balanço!Área_de_Impressão</vt:lpstr>
      <vt:lpstr>'Demonstração Resultados'!Área_de_Impressão</vt:lpstr>
      <vt:lpstr>'Mod. Rendimento 2011 opt invest'!Área_de_Impressão</vt:lpstr>
      <vt:lpstr>'Mod.Rend.2010 Optic.Ent.Buil-UP'!Área_de_Impressão</vt:lpstr>
      <vt:lpstr>'Mod.Rend.2011 Opt.Entid.Buil-UP'!Área_de_Impressão</vt:lpstr>
      <vt:lpstr>'Mod.Rend.2011 Optic.Enti. MCAPM'!Área_de_Impressão</vt:lpstr>
      <vt:lpstr>'Mod.Rendimento 2010 opt invest.'!Área_de_Impressão</vt:lpstr>
      <vt:lpstr>'Variação Mod.Patrim.2011 e2010 '!Área_de_Impressão</vt:lpstr>
      <vt:lpstr>Dedt_to_Equity_Ratio__Passivo_Cap.Próprio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Avaliação da organização CIMPOR </dc:subject>
  <dc:creator>Ana teles; Fabio Simões; Jorge Gameiro; Osvaldo vaz</dc:creator>
  <cp:lastModifiedBy>Dr. Fábio Simões</cp:lastModifiedBy>
  <cp:lastPrinted>2012-06-13T16:49:39Z</cp:lastPrinted>
  <dcterms:created xsi:type="dcterms:W3CDTF">2012-04-03T22:32:58Z</dcterms:created>
  <dcterms:modified xsi:type="dcterms:W3CDTF">2013-09-22T21:52:15Z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